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82" i="1" l="1"/>
  <c r="C182" i="1"/>
  <c r="B182" i="1"/>
  <c r="C177" i="1"/>
  <c r="D176" i="1"/>
  <c r="E176" i="1" s="1"/>
  <c r="D177" i="1"/>
  <c r="E177" i="1"/>
  <c r="D178" i="1"/>
  <c r="E178" i="1"/>
  <c r="D179" i="1"/>
  <c r="E179" i="1"/>
  <c r="D180" i="1"/>
  <c r="D181" i="1"/>
  <c r="E181" i="1"/>
  <c r="E175" i="1"/>
  <c r="D175" i="1"/>
  <c r="C181" i="1"/>
  <c r="B181" i="1"/>
  <c r="C178" i="1"/>
  <c r="B178" i="1"/>
  <c r="C179" i="1"/>
  <c r="B179" i="1"/>
  <c r="D170" i="1"/>
  <c r="D168" i="1"/>
  <c r="E168" i="1" s="1"/>
  <c r="D167" i="1"/>
  <c r="E167" i="1" s="1"/>
  <c r="D166" i="1"/>
  <c r="E166" i="1" s="1"/>
  <c r="E165" i="1"/>
  <c r="D165" i="1"/>
  <c r="E162" i="1"/>
  <c r="D162" i="1"/>
  <c r="C170" i="1"/>
  <c r="B170" i="1"/>
  <c r="C168" i="1"/>
  <c r="B168" i="1"/>
  <c r="C167" i="1"/>
  <c r="B167" i="1"/>
  <c r="D155" i="1"/>
  <c r="E155" i="1"/>
  <c r="D156" i="1"/>
  <c r="E156" i="1"/>
  <c r="D157" i="1"/>
  <c r="E157" i="1" s="1"/>
  <c r="D158" i="1"/>
  <c r="E154" i="1"/>
  <c r="D154" i="1"/>
  <c r="C157" i="1"/>
  <c r="C158" i="1" s="1"/>
  <c r="B158" i="1"/>
  <c r="B157" i="1"/>
  <c r="C147" i="1"/>
  <c r="C148" i="1"/>
  <c r="C145" i="1"/>
  <c r="B145" i="1"/>
  <c r="C144" i="1"/>
  <c r="B144" i="1"/>
  <c r="D139" i="1" l="1"/>
  <c r="C139" i="1"/>
  <c r="B139" i="1"/>
  <c r="C138" i="1"/>
  <c r="D138" i="1"/>
  <c r="B138" i="1"/>
  <c r="D124" i="1"/>
  <c r="E124" i="1" s="1"/>
  <c r="D125" i="1"/>
  <c r="E125" i="1" s="1"/>
  <c r="D126" i="1"/>
  <c r="E126" i="1"/>
  <c r="D127" i="1"/>
  <c r="E127" i="1"/>
  <c r="D128" i="1"/>
  <c r="E128" i="1" s="1"/>
  <c r="D129" i="1"/>
  <c r="E129" i="1" s="1"/>
  <c r="D130" i="1"/>
  <c r="E130" i="1"/>
  <c r="D131" i="1"/>
  <c r="E131" i="1"/>
  <c r="D132" i="1"/>
  <c r="E132" i="1" s="1"/>
  <c r="E123" i="1"/>
  <c r="D123" i="1"/>
  <c r="D136" i="1"/>
  <c r="D137" i="1"/>
  <c r="D135" i="1"/>
  <c r="C137" i="1"/>
  <c r="B137" i="1"/>
  <c r="C136" i="1"/>
  <c r="B136" i="1"/>
  <c r="C135" i="1"/>
  <c r="B135" i="1"/>
  <c r="C132" i="1"/>
  <c r="B132" i="1"/>
  <c r="C131" i="1"/>
  <c r="B131" i="1"/>
  <c r="B109" i="1"/>
  <c r="B112" i="1" s="1"/>
  <c r="B108" i="1"/>
  <c r="D91" i="1"/>
  <c r="E91" i="1" s="1"/>
  <c r="D92" i="1"/>
  <c r="E92" i="1" s="1"/>
  <c r="D93" i="1"/>
  <c r="E93" i="1"/>
  <c r="D96" i="1"/>
  <c r="E96" i="1" s="1"/>
  <c r="E90" i="1"/>
  <c r="D90" i="1"/>
  <c r="C96" i="1"/>
  <c r="C97" i="1" s="1"/>
  <c r="D97" i="1" s="1"/>
  <c r="B96" i="1"/>
  <c r="B97" i="1" s="1"/>
  <c r="C94" i="1"/>
  <c r="D94" i="1" s="1"/>
  <c r="E94" i="1" s="1"/>
  <c r="C95" i="1"/>
  <c r="D95" i="1" s="1"/>
  <c r="E95" i="1" s="1"/>
  <c r="B95" i="1"/>
  <c r="B94" i="1"/>
  <c r="J79" i="1"/>
  <c r="G79" i="1"/>
  <c r="D82" i="1"/>
  <c r="D84" i="1" s="1"/>
  <c r="K79" i="1" s="1"/>
  <c r="K80" i="1" s="1"/>
  <c r="K81" i="1" s="1"/>
  <c r="K82" i="1" s="1"/>
  <c r="D78" i="1"/>
  <c r="D83" i="1" s="1"/>
  <c r="D74" i="1"/>
  <c r="D73" i="1"/>
  <c r="D72" i="1"/>
  <c r="D71" i="1"/>
  <c r="D70" i="1"/>
  <c r="D79" i="1" l="1"/>
  <c r="F79" i="1" s="1"/>
  <c r="F80" i="1" s="1"/>
  <c r="F81" i="1" s="1"/>
  <c r="F82" i="1" s="1"/>
  <c r="B110" i="1"/>
  <c r="D60" i="1"/>
  <c r="E60" i="1"/>
  <c r="D63" i="1"/>
  <c r="E63" i="1"/>
  <c r="D58" i="1"/>
  <c r="E58" i="1" s="1"/>
  <c r="B64" i="1"/>
  <c r="B62" i="1" s="1"/>
  <c r="B63" i="1"/>
  <c r="C62" i="1"/>
  <c r="C63" i="1"/>
  <c r="C64" i="1"/>
  <c r="C59" i="1"/>
  <c r="C60" i="1"/>
  <c r="C61" i="1"/>
  <c r="D61" i="1" s="1"/>
  <c r="E61" i="1" s="1"/>
  <c r="B61" i="1"/>
  <c r="B60" i="1"/>
  <c r="D43" i="1"/>
  <c r="D41" i="1"/>
  <c r="D45" i="1" s="1"/>
  <c r="C40" i="1"/>
  <c r="D40" i="1" s="1"/>
  <c r="E40" i="1" s="1"/>
  <c r="B40" i="1"/>
  <c r="D39" i="1"/>
  <c r="E39" i="1" s="1"/>
  <c r="D38" i="1"/>
  <c r="E38" i="1" s="1"/>
  <c r="D32" i="1"/>
  <c r="D30" i="1"/>
  <c r="C29" i="1"/>
  <c r="D29" i="1" s="1"/>
  <c r="B29" i="1"/>
  <c r="D28" i="1"/>
  <c r="E28" i="1" s="1"/>
  <c r="D27" i="1"/>
  <c r="E27" i="1" s="1"/>
  <c r="D20" i="1"/>
  <c r="D18" i="1"/>
  <c r="D22" i="1" s="1"/>
  <c r="C17" i="1"/>
  <c r="B17" i="1"/>
  <c r="E16" i="1"/>
  <c r="D16" i="1"/>
  <c r="D15" i="1"/>
  <c r="E15" i="1" s="1"/>
  <c r="D11" i="1"/>
  <c r="D9" i="1"/>
  <c r="D7" i="1"/>
  <c r="D5" i="1"/>
  <c r="E5" i="1"/>
  <c r="D4" i="1"/>
  <c r="E4" i="1" s="1"/>
  <c r="C6" i="1"/>
  <c r="B6" i="1"/>
  <c r="D6" i="1" s="1"/>
  <c r="E6" i="1" s="1"/>
  <c r="D59" i="1" l="1"/>
  <c r="E59" i="1" s="1"/>
  <c r="B113" i="1"/>
  <c r="B111" i="1"/>
  <c r="B114" i="1" s="1"/>
  <c r="B118" i="1"/>
  <c r="B59" i="1"/>
  <c r="D64" i="1"/>
  <c r="E64" i="1" s="1"/>
  <c r="D62" i="1"/>
  <c r="E62" i="1" s="1"/>
  <c r="C65" i="1"/>
  <c r="G60" i="1" s="1"/>
  <c r="D17" i="1"/>
  <c r="E17" i="1" s="1"/>
  <c r="E29" i="1"/>
  <c r="D34" i="1"/>
  <c r="G64" i="1" l="1"/>
  <c r="G59" i="1"/>
  <c r="G61" i="1"/>
  <c r="G62" i="1"/>
  <c r="D65" i="1"/>
  <c r="E65" i="1" s="1"/>
  <c r="G63" i="1"/>
  <c r="G65" i="1"/>
  <c r="G58" i="1"/>
  <c r="B65" i="1"/>
  <c r="H62" i="1" l="1"/>
  <c r="F58" i="1"/>
  <c r="F60" i="1"/>
  <c r="H60" i="1" s="1"/>
  <c r="F64" i="1"/>
  <c r="F65" i="1"/>
  <c r="H65" i="1" s="1"/>
  <c r="F63" i="1"/>
  <c r="H63" i="1" s="1"/>
  <c r="F61" i="1"/>
  <c r="H61" i="1" s="1"/>
  <c r="F62" i="1"/>
  <c r="H58" i="1"/>
  <c r="F59" i="1"/>
  <c r="H59" i="1" s="1"/>
  <c r="H64" i="1"/>
</calcChain>
</file>

<file path=xl/sharedStrings.xml><?xml version="1.0" encoding="utf-8"?>
<sst xmlns="http://schemas.openxmlformats.org/spreadsheetml/2006/main" count="271" uniqueCount="198">
  <si>
    <t>Факторный анализ</t>
  </si>
  <si>
    <t>Показатель</t>
  </si>
  <si>
    <t xml:space="preserve">Базисн </t>
  </si>
  <si>
    <t>Отчётный</t>
  </si>
  <si>
    <t>Абсолютное изм</t>
  </si>
  <si>
    <t>Относительное изм</t>
  </si>
  <si>
    <t>Ставка</t>
  </si>
  <si>
    <t>База по НДС</t>
  </si>
  <si>
    <t>НДС начис</t>
  </si>
  <si>
    <r>
      <t>D</t>
    </r>
    <r>
      <rPr>
        <b/>
        <sz val="10"/>
        <color theme="1"/>
        <rFont val="Arial"/>
        <family val="2"/>
        <charset val="204"/>
      </rPr>
      <t>Н</t>
    </r>
    <r>
      <rPr>
        <b/>
        <vertAlign val="subscript"/>
        <sz val="10"/>
        <color theme="1"/>
        <rFont val="Arial"/>
        <family val="2"/>
        <charset val="204"/>
      </rPr>
      <t>нач ст</t>
    </r>
    <r>
      <rPr>
        <b/>
        <sz val="10"/>
        <color theme="1"/>
        <rFont val="Arial"/>
        <family val="2"/>
        <charset val="204"/>
      </rPr>
      <t xml:space="preserve"> = (С</t>
    </r>
    <r>
      <rPr>
        <b/>
        <vertAlign val="subscript"/>
        <sz val="10"/>
        <color theme="1"/>
        <rFont val="Arial"/>
        <family val="2"/>
        <charset val="204"/>
      </rPr>
      <t>от</t>
    </r>
    <r>
      <rPr>
        <b/>
        <sz val="10"/>
        <color theme="1"/>
        <rFont val="Arial"/>
        <family val="2"/>
        <charset val="204"/>
      </rPr>
      <t xml:space="preserve"> – С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Б</t>
    </r>
    <r>
      <rPr>
        <b/>
        <vertAlign val="subscript"/>
        <sz val="10"/>
        <color theme="1"/>
        <rFont val="Arial"/>
        <family val="2"/>
        <charset val="204"/>
      </rPr>
      <t>б</t>
    </r>
  </si>
  <si>
    <t>Измен налога за счёт ставки</t>
  </si>
  <si>
    <t>Измен налога за счёт базы</t>
  </si>
  <si>
    <t>усиление кач фактора (ставка)</t>
  </si>
  <si>
    <r>
      <t>D</t>
    </r>
    <r>
      <rPr>
        <b/>
        <sz val="10"/>
        <color theme="1"/>
        <rFont val="Arial"/>
        <family val="2"/>
        <charset val="204"/>
      </rPr>
      <t>Н</t>
    </r>
    <r>
      <rPr>
        <b/>
        <vertAlign val="subscript"/>
        <sz val="10"/>
        <color theme="1"/>
        <rFont val="Arial"/>
        <family val="2"/>
        <charset val="204"/>
      </rPr>
      <t>нач баз</t>
    </r>
    <r>
      <rPr>
        <b/>
        <sz val="10"/>
        <color theme="1"/>
        <rFont val="Arial"/>
        <family val="2"/>
        <charset val="204"/>
      </rPr>
      <t xml:space="preserve"> = (Б</t>
    </r>
    <r>
      <rPr>
        <b/>
        <vertAlign val="subscript"/>
        <sz val="10"/>
        <color theme="1"/>
        <rFont val="Arial"/>
        <family val="2"/>
        <charset val="204"/>
      </rPr>
      <t>отч</t>
    </r>
    <r>
      <rPr>
        <b/>
        <sz val="10"/>
        <color theme="1"/>
        <rFont val="Arial"/>
        <family val="2"/>
        <charset val="204"/>
      </rPr>
      <t xml:space="preserve"> – Б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С</t>
    </r>
    <r>
      <rPr>
        <b/>
        <vertAlign val="subscript"/>
        <sz val="10"/>
        <color theme="1"/>
        <rFont val="Arial"/>
        <family val="2"/>
        <charset val="204"/>
      </rPr>
      <t>отч</t>
    </r>
  </si>
  <si>
    <t>Итого</t>
  </si>
  <si>
    <t>усиление кол фактора (базы)</t>
  </si>
  <si>
    <r>
      <t>D</t>
    </r>
    <r>
      <rPr>
        <b/>
        <sz val="10"/>
        <color theme="1"/>
        <rFont val="Arial"/>
        <family val="2"/>
        <charset val="204"/>
      </rPr>
      <t>Н</t>
    </r>
    <r>
      <rPr>
        <b/>
        <vertAlign val="subscript"/>
        <sz val="10"/>
        <color theme="1"/>
        <rFont val="Arial"/>
        <family val="2"/>
        <charset val="204"/>
      </rPr>
      <t>нач ст</t>
    </r>
    <r>
      <rPr>
        <b/>
        <sz val="10"/>
        <color theme="1"/>
        <rFont val="Arial"/>
        <family val="2"/>
        <charset val="204"/>
      </rPr>
      <t xml:space="preserve"> = (С</t>
    </r>
    <r>
      <rPr>
        <b/>
        <vertAlign val="subscript"/>
        <sz val="10"/>
        <color theme="1"/>
        <rFont val="Arial"/>
        <family val="2"/>
        <charset val="204"/>
      </rPr>
      <t>от</t>
    </r>
    <r>
      <rPr>
        <b/>
        <sz val="10"/>
        <color theme="1"/>
        <rFont val="Arial"/>
        <family val="2"/>
        <charset val="204"/>
      </rPr>
      <t xml:space="preserve"> – С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Бот</t>
    </r>
  </si>
  <si>
    <r>
      <t>D</t>
    </r>
    <r>
      <rPr>
        <b/>
        <sz val="10"/>
        <color theme="1"/>
        <rFont val="Arial"/>
        <family val="2"/>
        <charset val="204"/>
      </rPr>
      <t>Н</t>
    </r>
    <r>
      <rPr>
        <b/>
        <vertAlign val="subscript"/>
        <sz val="10"/>
        <color theme="1"/>
        <rFont val="Arial"/>
        <family val="2"/>
        <charset val="204"/>
      </rPr>
      <t>нач баз</t>
    </r>
    <r>
      <rPr>
        <b/>
        <sz val="10"/>
        <color theme="1"/>
        <rFont val="Arial"/>
        <family val="2"/>
        <charset val="204"/>
      </rPr>
      <t xml:space="preserve"> = (Б</t>
    </r>
    <r>
      <rPr>
        <b/>
        <vertAlign val="subscript"/>
        <sz val="10"/>
        <color theme="1"/>
        <rFont val="Arial"/>
        <family val="2"/>
        <charset val="204"/>
      </rPr>
      <t>отч</t>
    </r>
    <r>
      <rPr>
        <b/>
        <sz val="10"/>
        <color theme="1"/>
        <rFont val="Arial"/>
        <family val="2"/>
        <charset val="204"/>
      </rPr>
      <t xml:space="preserve"> – Б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Сбаз</t>
    </r>
  </si>
  <si>
    <t>Оценить влияние изменения цены и объёма реализации на выручку</t>
  </si>
  <si>
    <t>усиление кач фактора (цена)</t>
  </si>
  <si>
    <t>S=цена*колич(объём реал)</t>
  </si>
  <si>
    <t>НДС=Ставка*базу</t>
  </si>
  <si>
    <t>Цена</t>
  </si>
  <si>
    <t>Выручка</t>
  </si>
  <si>
    <r>
      <rPr>
        <b/>
        <sz val="10"/>
        <color theme="1"/>
        <rFont val="Arial"/>
        <family val="2"/>
        <charset val="204"/>
      </rPr>
      <t xml:space="preserve"> Измен выручки за счёт цены= (С</t>
    </r>
    <r>
      <rPr>
        <b/>
        <vertAlign val="subscript"/>
        <sz val="10"/>
        <color theme="1"/>
        <rFont val="Arial"/>
        <family val="2"/>
        <charset val="204"/>
      </rPr>
      <t>от</t>
    </r>
    <r>
      <rPr>
        <b/>
        <sz val="10"/>
        <color theme="1"/>
        <rFont val="Arial"/>
        <family val="2"/>
        <charset val="204"/>
      </rPr>
      <t xml:space="preserve"> – С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Vот</t>
    </r>
  </si>
  <si>
    <t xml:space="preserve">Измен выручки за счёт объёма </t>
  </si>
  <si>
    <r>
      <rPr>
        <b/>
        <sz val="10"/>
        <color theme="1"/>
        <rFont val="Arial"/>
        <family val="2"/>
        <charset val="204"/>
      </rPr>
      <t xml:space="preserve"> Измен выручки за счёт объёма= (V</t>
    </r>
    <r>
      <rPr>
        <b/>
        <vertAlign val="subscript"/>
        <sz val="10"/>
        <color theme="1"/>
        <rFont val="Arial"/>
        <family val="2"/>
        <charset val="204"/>
      </rPr>
      <t>отч</t>
    </r>
    <r>
      <rPr>
        <b/>
        <sz val="10"/>
        <color theme="1"/>
        <rFont val="Arial"/>
        <family val="2"/>
        <charset val="204"/>
      </rPr>
      <t xml:space="preserve"> – V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Сбаз</t>
    </r>
  </si>
  <si>
    <t>Измен выручки за счёт цены</t>
  </si>
  <si>
    <t>Объём</t>
  </si>
  <si>
    <t>При помощи методов группировки, горизонтального и вертикального анализа, по представленным в таблице исходным данным, исследуйте структуру пассива баланса организации - налогоплательщика и ответьте на вопрос: каким образом изменится сумма и удельный вес статей, возникающих вследствие налогообложения (каждой и в совокупности) и статей неналогового характера (в целом). Оцените платёжеспособность налогоплательщика. Что интересного в сложившейся картине с позиции налогового консультанта?</t>
  </si>
  <si>
    <t>Наименование статьи пассива баланса</t>
  </si>
  <si>
    <t>Сумма, тыс. руб.</t>
  </si>
  <si>
    <t>Собственный капитал</t>
  </si>
  <si>
    <t>Долгосрочные заемные пассивы – всего</t>
  </si>
  <si>
    <t>в том числе ОНО</t>
  </si>
  <si>
    <t>Краткосрочные заемные пассивы - всего</t>
  </si>
  <si>
    <t>в том числе КЗ перед государством по налогам</t>
  </si>
  <si>
    <t>Неналоговые пассивы – всего</t>
  </si>
  <si>
    <t>Долгосрочные заемные пассивы</t>
  </si>
  <si>
    <t>Краткосрочные заемные пассивы</t>
  </si>
  <si>
    <t>Итого пассив</t>
  </si>
  <si>
    <t>Горизонтальный анализ</t>
  </si>
  <si>
    <t>Вертикальный анализ</t>
  </si>
  <si>
    <t xml:space="preserve">Анализ структуры </t>
  </si>
  <si>
    <t>Анализ структурной динамики</t>
  </si>
  <si>
    <t>налоговые пассивы – всего</t>
  </si>
  <si>
    <t>Относительное изм %</t>
  </si>
  <si>
    <t>Удельный вес % 31.12.2020</t>
  </si>
  <si>
    <t>Удельный вес % 31.12.2021</t>
  </si>
  <si>
    <t>Изменение % удельных весов</t>
  </si>
  <si>
    <t xml:space="preserve">Определите суммарное количественное влияние факторов на величину налога на прибыль, рассчитываемого по правилам бухгалтерского и налогового учета.  
Исходные данные представлены в таблице.
</t>
  </si>
  <si>
    <t>Виды доходов и расходов</t>
  </si>
  <si>
    <t>Величина показателя, тыс. руб.</t>
  </si>
  <si>
    <t>в бухгалтерском учете</t>
  </si>
  <si>
    <t>в налоговом учете</t>
  </si>
  <si>
    <t>Представительские расходы</t>
  </si>
  <si>
    <t>Командировочные расходы</t>
  </si>
  <si>
    <t>Амортизация на амортизируемое имущество</t>
  </si>
  <si>
    <t>Начисленные, но не полученные дивиденды</t>
  </si>
  <si>
    <t>Комментарий</t>
  </si>
  <si>
    <t>ОНА,ОНО, ПНР, ПНД</t>
  </si>
  <si>
    <t>ПНР</t>
  </si>
  <si>
    <t>влияние факторов на величину налога на прибыль</t>
  </si>
  <si>
    <t>ОНА</t>
  </si>
  <si>
    <t>ПНД</t>
  </si>
  <si>
    <t xml:space="preserve">Имеются следующие сведения об организации:
- задолженность перед бюджетом по НДС на начало периода - 145 тыс. руб.;
- выручка от реализации продукции за период - 450 тыс. руб. (с НДС – 20%); 
- НДС по приобретенным ценностям на начало периода - 88 тыс. руб.; 
- приобретены товары на сумму 320 тыс. руб. (с учетом НДС – 20%). 
- уплачен НДС в течение периода - 48 тыс. руб.; 
- сумма НДС, принятая к вычету, – 44 тыс. руб. 
Рассчитайте изменение величины НДС по приобретенным ценностям и остатка кредиторской задолженности перед бюджетом по НДС и оцените их влияние на финансовое состояние организации.
</t>
  </si>
  <si>
    <t>Содержание операции</t>
  </si>
  <si>
    <t>Д</t>
  </si>
  <si>
    <t>К</t>
  </si>
  <si>
    <t>Сумма</t>
  </si>
  <si>
    <t>19(НДС по приобр ценн)</t>
  </si>
  <si>
    <t>Нач остатки</t>
  </si>
  <si>
    <t>Обороты по сч</t>
  </si>
  <si>
    <t>Конечн сальдо</t>
  </si>
  <si>
    <t>Абсол изменение</t>
  </si>
  <si>
    <t>Относит измен</t>
  </si>
  <si>
    <t>68.2 НДС</t>
  </si>
  <si>
    <t>Оплачены товары</t>
  </si>
  <si>
    <t>Приняты к учёту товары</t>
  </si>
  <si>
    <t>Выделен НДС</t>
  </si>
  <si>
    <t>НДС к вычету</t>
  </si>
  <si>
    <t>68.2</t>
  </si>
  <si>
    <t>Полчены ден средства от реал товаров</t>
  </si>
  <si>
    <t>Отражена выручка от реал</t>
  </si>
  <si>
    <t>90.1</t>
  </si>
  <si>
    <t>Списана себест товаров</t>
  </si>
  <si>
    <t>90.2</t>
  </si>
  <si>
    <t>Начислен НДС</t>
  </si>
  <si>
    <t>90.3</t>
  </si>
  <si>
    <t>Уплачен НДС</t>
  </si>
  <si>
    <t>Отражён фин рез от реал (приб)</t>
  </si>
  <si>
    <t>90.9</t>
  </si>
  <si>
    <t>Используя приведенные ниже данные, определите величину собственного оборотного капитала и его долю в финансировании оборотных активов. Дайте оценку изменениям.</t>
  </si>
  <si>
    <t>Показатели, тыс. руб.</t>
  </si>
  <si>
    <t>Внеоборотные активы</t>
  </si>
  <si>
    <t>Текущие обязательства</t>
  </si>
  <si>
    <t>Абсол измен</t>
  </si>
  <si>
    <t>Итого актив</t>
  </si>
  <si>
    <t>Итого Пассив</t>
  </si>
  <si>
    <t>СОС</t>
  </si>
  <si>
    <t>Доля СОС в ОА</t>
  </si>
  <si>
    <t>Оборотные активы (ОА)</t>
  </si>
  <si>
    <t xml:space="preserve">Проанализируйте финансовую устойчивость организации-налогоплательщика, опираясь на данные, приведенные в таблице, и оцените ее способность отвечать по своим налоговым обязательствам, наряду с другими.
</t>
  </si>
  <si>
    <t>Наименование показателя</t>
  </si>
  <si>
    <t>Значение, тыс. руб.</t>
  </si>
  <si>
    <t>Итог по разделу «Внеоборотные активы» (ВА)</t>
  </si>
  <si>
    <t>Запасы (Зап)</t>
  </si>
  <si>
    <t>НДС по приобретенным ценностям</t>
  </si>
  <si>
    <t>Итог по разделу «Капитал и резервы» (СК)</t>
  </si>
  <si>
    <t>Долгосрочные обязательства (ДО)</t>
  </si>
  <si>
    <t>Краткосрочные заемные средства (КЗС)</t>
  </si>
  <si>
    <t>Значение, тыс. руб.</t>
  </si>
  <si>
    <t xml:space="preserve"> Запасы и НДС</t>
  </si>
  <si>
    <t>СОК (С уч дох буд пер) = Кап и рез + Дох буд пер - Внеоб акт</t>
  </si>
  <si>
    <t>СОК + ДО = СОС</t>
  </si>
  <si>
    <t>СОК + ДО + Займы и кред</t>
  </si>
  <si>
    <t>СОК - Запасы и НДС</t>
  </si>
  <si>
    <t>СОК + ДО - Запасы и НДС</t>
  </si>
  <si>
    <t>(СОК + ДО + Займы и кред) - Запасы и НДС</t>
  </si>
  <si>
    <t>Соотношение запасов и групп источников</t>
  </si>
  <si>
    <t>Тип финансовой устойчивости</t>
  </si>
  <si>
    <t xml:space="preserve">Запасы &lt; = СОК (без долгосрочных обязательств) </t>
  </si>
  <si>
    <t>Абсолютная финансовая устойчивость</t>
  </si>
  <si>
    <t xml:space="preserve">Запасы &lt; = СОК + ДО  </t>
  </si>
  <si>
    <t>Нормальная финансовая устойчивость</t>
  </si>
  <si>
    <t xml:space="preserve">Запасы &lt; = СОК + ДО+ЗК </t>
  </si>
  <si>
    <t>Неустойчивое финансовое состояние</t>
  </si>
  <si>
    <t>Запасы &lt; = СОК + ДО + ЗК + Зпост</t>
  </si>
  <si>
    <t>Кризисное финансовое состояние</t>
  </si>
  <si>
    <t xml:space="preserve">S( , , ) </t>
  </si>
  <si>
    <t xml:space="preserve">S(0,0,0) </t>
  </si>
  <si>
    <t xml:space="preserve">Кпокр = СОС / МЗ </t>
  </si>
  <si>
    <t>коэффициент покрытия запасов</t>
  </si>
  <si>
    <t xml:space="preserve">Дайте оценку динамике структуры текущих активов и рассчитайте финансовые коэффициенты ликвидности исходя из данных, представленных в таблице. Укажите, повлияют ли происшедшие изменения, в том числе связанные с суммой НДС, на своевременность налоговых платежей:
</t>
  </si>
  <si>
    <t>Группы оборотных активов</t>
  </si>
  <si>
    <t>Стоимость, тыс. руб.</t>
  </si>
  <si>
    <t>Оборотные активы - всего:</t>
  </si>
  <si>
    <t>в т.ч. денежные средства</t>
  </si>
  <si>
    <t>в т.ч. сомнительная</t>
  </si>
  <si>
    <t>Запасы</t>
  </si>
  <si>
    <t>из них неликвиды</t>
  </si>
  <si>
    <t xml:space="preserve">Краткосрочная дебиторская  задолж                       </t>
  </si>
  <si>
    <t>Проверка</t>
  </si>
  <si>
    <t>Гипотеза- наличие долг ДЗ</t>
  </si>
  <si>
    <t>абсолютн изменение</t>
  </si>
  <si>
    <t>Относит изменение</t>
  </si>
  <si>
    <t>(денежные средства + краткосрочные финансовые вложения) / краткосрочные обязательства</t>
  </si>
  <si>
    <t>норма больше 0,2</t>
  </si>
  <si>
    <t>(денежные средства + краткосрочные финансовые вложения + краткосрочная дебиторская задолженность + прочие оборотные активы) / краткосрочные обязательства</t>
  </si>
  <si>
    <t>0,7-1</t>
  </si>
  <si>
    <t xml:space="preserve"> (оборотные активы - долгосрочная дебиторская задолженность) / краткосрочные обязательства</t>
  </si>
  <si>
    <t>больше 2</t>
  </si>
  <si>
    <t>Коэффициент критической  ликвидности</t>
  </si>
  <si>
    <t>Коэффициент текущей ликвидности</t>
  </si>
  <si>
    <t xml:space="preserve">Коэффициент абсолютной  ликвидности </t>
  </si>
  <si>
    <t>Коэффициент критической  ликвидности с учётом сомнит ДЗ</t>
  </si>
  <si>
    <t>Коэффициент текущей ликвидности с учётом сомнит ДЗ и неликвидн запасов</t>
  </si>
  <si>
    <t xml:space="preserve">Имеются следующие сведения о деятельности организации:
</t>
  </si>
  <si>
    <t>31.12.2020, тыс. руб.</t>
  </si>
  <si>
    <t>31.12.2021, тыс. руб.</t>
  </si>
  <si>
    <t>Текущие активы</t>
  </si>
  <si>
    <t>в т.ч. запасы</t>
  </si>
  <si>
    <t>Коэффициент срочной ликвидности (критич ликв)</t>
  </si>
  <si>
    <t>абсол измен</t>
  </si>
  <si>
    <t>Гипотеза - отсутствие Долг ДЗ</t>
  </si>
  <si>
    <t>(текущие активы - запасы) / краткосрочные обязательства</t>
  </si>
  <si>
    <t>0,75*26000=32500-запасы</t>
  </si>
  <si>
    <t xml:space="preserve">Оцените долю чистой налоговой задолженности перед государством в составе капитала организации. Для чего производится оценка данного показателя? </t>
  </si>
  <si>
    <t>Значение показателя, тыс. руб.</t>
  </si>
  <si>
    <t>Кредиторская задолженность по уплате налогов</t>
  </si>
  <si>
    <t>Капитал организации (валюта баланса)</t>
  </si>
  <si>
    <t>Абсолютное изменение</t>
  </si>
  <si>
    <t>Относительное изменение</t>
  </si>
  <si>
    <t>ЧНЗ=НО-НА</t>
  </si>
  <si>
    <t>Доля ЧНЗ в капитале</t>
  </si>
  <si>
    <t xml:space="preserve">Оцените абсолютное и относительное изменение доли собственного капитала, идущего на финансирование текущей деятельности, за год, рассчитав коэффициента маневренности. Разъясните экономический смысл показателя.
</t>
  </si>
  <si>
    <t>Актив, тыс. руб.</t>
  </si>
  <si>
    <t>Основные средства</t>
  </si>
  <si>
    <t>Пассив, тыс. руб.</t>
  </si>
  <si>
    <t>Уставный капитал</t>
  </si>
  <si>
    <t>Нераспределенная прибыль</t>
  </si>
  <si>
    <t>Собственный оборотный капитал</t>
  </si>
  <si>
    <t>собственный капитал + долгосрочные обязательства + доходы будущих периодов - внеоборотные активы</t>
  </si>
  <si>
    <t>собственный оборотный капитал / (собственный капитал + долгосрочные обязательства + доходы будущих периодов)</t>
  </si>
  <si>
    <t>Коэффициент маневренности собственного капитала</t>
  </si>
  <si>
    <t xml:space="preserve">собственный капитал </t>
  </si>
  <si>
    <t>больше 0,2</t>
  </si>
  <si>
    <t xml:space="preserve">Имеются следующие показатели деятельности организации в отчётном периоде. Временных разниц нет: Проанализируйте, какое влияние на величину показателя рентабельности капитала окажет изменение величины налога на прибыль.
</t>
  </si>
  <si>
    <t>Плановое значение, тыс. руб.</t>
  </si>
  <si>
    <t>Фактическое значение, тыс. руб.</t>
  </si>
  <si>
    <t>Прибыль до налогообложения</t>
  </si>
  <si>
    <t>Налогооблагаемая прибыль</t>
  </si>
  <si>
    <t>Капитал, в среднем за период</t>
  </si>
  <si>
    <t>Налог на прибыль</t>
  </si>
  <si>
    <t>Чистая прибыль</t>
  </si>
  <si>
    <t>Рентаб капитала=ЧП/Капит</t>
  </si>
  <si>
    <t>отложенный налог на прибыль</t>
  </si>
  <si>
    <t>текущий налог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</si>
</sst>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0.000"/>
    <numFmt numFmtId="167" formatCode="0.0"/>
    <numFmt numFmtId="168" formatCode="_-* #,##0.000\ _₽_-;\-* #,##0.0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ymbol"/>
      <family val="1"/>
      <charset val="2"/>
    </font>
    <font>
      <b/>
      <sz val="10"/>
      <color theme="1"/>
      <name val="Arial"/>
      <family val="2"/>
      <charset val="204"/>
    </font>
    <font>
      <b/>
      <vertAlign val="subscript"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wrapText="1"/>
    </xf>
    <xf numFmtId="164" fontId="0" fillId="0" borderId="0" xfId="1" applyNumberFormat="1" applyFont="1" applyAlignment="1">
      <alignment wrapText="1"/>
    </xf>
    <xf numFmtId="9" fontId="0" fillId="0" borderId="1" xfId="2" applyFont="1" applyBorder="1" applyAlignment="1">
      <alignment wrapText="1"/>
    </xf>
    <xf numFmtId="0" fontId="2" fillId="0" borderId="1" xfId="0" applyFont="1" applyBorder="1"/>
    <xf numFmtId="1" fontId="0" fillId="0" borderId="1" xfId="2" applyNumberFormat="1" applyFont="1" applyBorder="1" applyAlignment="1">
      <alignment wrapText="1"/>
    </xf>
    <xf numFmtId="164" fontId="0" fillId="2" borderId="1" xfId="1" applyNumberFormat="1" applyFont="1" applyFill="1" applyBorder="1" applyAlignment="1">
      <alignment wrapText="1"/>
    </xf>
    <xf numFmtId="164" fontId="0" fillId="2" borderId="0" xfId="1" applyNumberFormat="1" applyFont="1" applyFill="1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165" fontId="0" fillId="0" borderId="1" xfId="2" applyNumberFormat="1" applyFont="1" applyBorder="1"/>
    <xf numFmtId="165" fontId="0" fillId="0" borderId="1" xfId="0" applyNumberFormat="1" applyBorder="1"/>
    <xf numFmtId="0" fontId="0" fillId="0" borderId="0" xfId="0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Fill="1" applyBorder="1"/>
    <xf numFmtId="0" fontId="5" fillId="0" borderId="1" xfId="0" applyFont="1" applyFill="1" applyBorder="1" applyAlignment="1">
      <alignment horizontal="justify" vertical="center" wrapText="1"/>
    </xf>
    <xf numFmtId="166" fontId="0" fillId="0" borderId="1" xfId="0" applyNumberFormat="1" applyBorder="1"/>
    <xf numFmtId="2" fontId="0" fillId="0" borderId="1" xfId="0" applyNumberFormat="1" applyBorder="1"/>
    <xf numFmtId="167" fontId="0" fillId="0" borderId="1" xfId="0" applyNumberFormat="1" applyBorder="1"/>
    <xf numFmtId="167" fontId="0" fillId="3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14" fontId="5" fillId="0" borderId="1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/>
    <xf numFmtId="166" fontId="0" fillId="4" borderId="0" xfId="0" applyNumberFormat="1" applyFill="1"/>
    <xf numFmtId="0" fontId="8" fillId="5" borderId="1" xfId="0" applyFont="1" applyFill="1" applyBorder="1" applyAlignment="1">
      <alignment horizontal="justify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0" fillId="0" borderId="0" xfId="1" applyNumberFormat="1" applyFont="1"/>
    <xf numFmtId="0" fontId="5" fillId="0" borderId="1" xfId="0" applyFont="1" applyBorder="1" applyAlignment="1">
      <alignment horizontal="justify" vertical="center"/>
    </xf>
    <xf numFmtId="164" fontId="0" fillId="0" borderId="1" xfId="1" applyNumberFormat="1" applyFont="1" applyBorder="1"/>
    <xf numFmtId="14" fontId="5" fillId="0" borderId="0" xfId="0" applyNumberFormat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  <xf numFmtId="164" fontId="0" fillId="0" borderId="9" xfId="1" applyNumberFormat="1" applyFont="1" applyBorder="1"/>
    <xf numFmtId="164" fontId="0" fillId="0" borderId="8" xfId="1" applyNumberFormat="1" applyFont="1" applyBorder="1"/>
    <xf numFmtId="164" fontId="0" fillId="0" borderId="10" xfId="1" applyNumberFormat="1" applyFont="1" applyBorder="1"/>
    <xf numFmtId="0" fontId="5" fillId="4" borderId="1" xfId="0" applyFont="1" applyFill="1" applyBorder="1" applyAlignment="1">
      <alignment horizontal="justify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4" borderId="9" xfId="1" applyNumberFormat="1" applyFont="1" applyFill="1" applyBorder="1" applyAlignment="1">
      <alignment horizontal="center" vertical="center" wrapText="1"/>
    </xf>
    <xf numFmtId="43" fontId="0" fillId="0" borderId="1" xfId="1" applyNumberFormat="1" applyFont="1" applyBorder="1"/>
    <xf numFmtId="168" fontId="0" fillId="0" borderId="1" xfId="1" applyNumberFormat="1" applyFont="1" applyBorder="1"/>
    <xf numFmtId="43" fontId="0" fillId="0" borderId="9" xfId="1" applyNumberFormat="1" applyFont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8" xfId="0" applyBorder="1"/>
    <xf numFmtId="0" fontId="5" fillId="0" borderId="5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43" fontId="5" fillId="0" borderId="1" xfId="0" applyNumberFormat="1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2" xfId="0" applyBorder="1"/>
    <xf numFmtId="0" fontId="0" fillId="0" borderId="10" xfId="0" applyBorder="1"/>
    <xf numFmtId="0" fontId="10" fillId="6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2" borderId="1" xfId="0" applyFill="1" applyBorder="1"/>
    <xf numFmtId="10" fontId="0" fillId="0" borderId="1" xfId="2" applyNumberFormat="1" applyFont="1" applyBorder="1"/>
    <xf numFmtId="0" fontId="0" fillId="8" borderId="1" xfId="0" applyFill="1" applyBorder="1"/>
    <xf numFmtId="165" fontId="0" fillId="8" borderId="1" xfId="2" applyNumberFormat="1" applyFont="1" applyFill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"/>
  <sheetViews>
    <sheetView tabSelected="1" topLeftCell="A172" zoomScale="150" zoomScaleNormal="150" workbookViewId="0">
      <selection activeCell="E175" sqref="E175"/>
    </sheetView>
  </sheetViews>
  <sheetFormatPr defaultRowHeight="15" x14ac:dyDescent="0.25"/>
  <cols>
    <col min="1" max="1" width="25.5703125" customWidth="1"/>
    <col min="2" max="2" width="14.140625" bestFit="1" customWidth="1"/>
    <col min="3" max="3" width="15.140625" customWidth="1"/>
    <col min="4" max="4" width="21.140625" customWidth="1"/>
    <col min="5" max="5" width="33.28515625" customWidth="1"/>
    <col min="6" max="6" width="10.85546875" customWidth="1"/>
    <col min="7" max="7" width="11" customWidth="1"/>
    <col min="9" max="9" width="13.85546875" customWidth="1"/>
  </cols>
  <sheetData>
    <row r="1" spans="1:6" x14ac:dyDescent="0.25">
      <c r="A1" s="2" t="s">
        <v>0</v>
      </c>
      <c r="B1" s="2"/>
      <c r="C1" s="2"/>
      <c r="D1" s="2"/>
      <c r="E1" s="2"/>
      <c r="F1" s="2"/>
    </row>
    <row r="2" spans="1:6" ht="30" x14ac:dyDescent="0.25">
      <c r="A2" s="2" t="s">
        <v>15</v>
      </c>
      <c r="B2" s="2"/>
      <c r="C2" s="2" t="s">
        <v>21</v>
      </c>
      <c r="D2" s="2"/>
      <c r="E2" s="2"/>
      <c r="F2" s="2"/>
    </row>
    <row r="3" spans="1:6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2"/>
    </row>
    <row r="4" spans="1:6" x14ac:dyDescent="0.25">
      <c r="A4" s="3" t="s">
        <v>6</v>
      </c>
      <c r="B4" s="7">
        <v>0.18</v>
      </c>
      <c r="C4" s="7">
        <v>0.2</v>
      </c>
      <c r="D4" s="7">
        <f>C4-B4</f>
        <v>2.0000000000000018E-2</v>
      </c>
      <c r="E4" s="7">
        <f>D4/B4</f>
        <v>0.11111111111111122</v>
      </c>
      <c r="F4" s="2"/>
    </row>
    <row r="5" spans="1:6" x14ac:dyDescent="0.25">
      <c r="A5" s="3" t="s">
        <v>7</v>
      </c>
      <c r="B5" s="5">
        <v>1500000</v>
      </c>
      <c r="C5" s="5">
        <v>2000000</v>
      </c>
      <c r="D5" s="5">
        <f t="shared" ref="D5:D6" si="0">C5-B5</f>
        <v>500000</v>
      </c>
      <c r="E5" s="7">
        <f t="shared" ref="E5:E6" si="1">D5/B5</f>
        <v>0.33333333333333331</v>
      </c>
      <c r="F5" s="2"/>
    </row>
    <row r="6" spans="1:6" x14ac:dyDescent="0.25">
      <c r="A6" s="3" t="s">
        <v>8</v>
      </c>
      <c r="B6" s="5">
        <f>B5*B4</f>
        <v>270000</v>
      </c>
      <c r="C6" s="5">
        <f>C4*C5</f>
        <v>400000</v>
      </c>
      <c r="D6" s="10">
        <f t="shared" si="0"/>
        <v>130000</v>
      </c>
      <c r="E6" s="7">
        <f t="shared" si="1"/>
        <v>0.48148148148148145</v>
      </c>
      <c r="F6" s="2"/>
    </row>
    <row r="7" spans="1:6" ht="30" x14ac:dyDescent="0.25">
      <c r="A7" s="3" t="s">
        <v>10</v>
      </c>
      <c r="B7" s="5"/>
      <c r="C7" s="5"/>
      <c r="D7" s="5">
        <f>(C4-B4)*B5</f>
        <v>30000.000000000025</v>
      </c>
      <c r="E7" s="5"/>
      <c r="F7" s="2"/>
    </row>
    <row r="8" spans="1:6" x14ac:dyDescent="0.25">
      <c r="A8" s="8" t="s">
        <v>9</v>
      </c>
      <c r="B8" s="5"/>
      <c r="C8" s="5"/>
      <c r="D8" s="5"/>
      <c r="E8" s="5"/>
      <c r="F8" s="2"/>
    </row>
    <row r="9" spans="1:6" x14ac:dyDescent="0.25">
      <c r="A9" s="3" t="s">
        <v>11</v>
      </c>
      <c r="B9" s="5"/>
      <c r="C9" s="5"/>
      <c r="D9" s="5">
        <f>(C5-B5)*C4</f>
        <v>100000</v>
      </c>
      <c r="E9" s="5"/>
      <c r="F9" s="2"/>
    </row>
    <row r="10" spans="1:6" x14ac:dyDescent="0.25">
      <c r="A10" s="8" t="s">
        <v>13</v>
      </c>
      <c r="B10" s="5"/>
      <c r="C10" s="5"/>
      <c r="D10" s="5"/>
      <c r="E10" s="5"/>
      <c r="F10" s="2"/>
    </row>
    <row r="11" spans="1:6" x14ac:dyDescent="0.25">
      <c r="A11" s="2" t="s">
        <v>14</v>
      </c>
      <c r="B11" s="6"/>
      <c r="C11" s="6"/>
      <c r="D11" s="11">
        <f>D7+D9</f>
        <v>130000.00000000003</v>
      </c>
      <c r="E11" s="6"/>
      <c r="F11" s="2"/>
    </row>
    <row r="12" spans="1:6" x14ac:dyDescent="0.25">
      <c r="A12" s="2"/>
      <c r="B12" s="6"/>
      <c r="C12" s="6"/>
      <c r="D12" s="6"/>
      <c r="E12" s="6"/>
      <c r="F12" s="2"/>
    </row>
    <row r="13" spans="1:6" ht="30" x14ac:dyDescent="0.25">
      <c r="A13" s="2" t="s">
        <v>12</v>
      </c>
      <c r="B13" s="2"/>
      <c r="C13" s="2"/>
      <c r="D13" s="2"/>
      <c r="E13" s="2"/>
      <c r="F13" s="2"/>
    </row>
    <row r="14" spans="1:6" x14ac:dyDescent="0.25">
      <c r="A14" s="4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2"/>
    </row>
    <row r="15" spans="1:6" x14ac:dyDescent="0.25">
      <c r="A15" s="3" t="s">
        <v>6</v>
      </c>
      <c r="B15" s="7">
        <v>0.18</v>
      </c>
      <c r="C15" s="7">
        <v>0.2</v>
      </c>
      <c r="D15" s="7">
        <f>C15-B15</f>
        <v>2.0000000000000018E-2</v>
      </c>
      <c r="E15" s="7">
        <f>D15/B15</f>
        <v>0.11111111111111122</v>
      </c>
      <c r="F15" s="2"/>
    </row>
    <row r="16" spans="1:6" x14ac:dyDescent="0.25">
      <c r="A16" s="3" t="s">
        <v>7</v>
      </c>
      <c r="B16" s="5">
        <v>1500000</v>
      </c>
      <c r="C16" s="5">
        <v>2000000</v>
      </c>
      <c r="D16" s="5">
        <f t="shared" ref="D16:D17" si="2">C16-B16</f>
        <v>500000</v>
      </c>
      <c r="E16" s="7">
        <f t="shared" ref="E16:E17" si="3">D16/B16</f>
        <v>0.33333333333333331</v>
      </c>
      <c r="F16" s="2"/>
    </row>
    <row r="17" spans="1:6" x14ac:dyDescent="0.25">
      <c r="A17" s="3" t="s">
        <v>8</v>
      </c>
      <c r="B17" s="5">
        <f>B16*B15</f>
        <v>270000</v>
      </c>
      <c r="C17" s="5">
        <f>C15*C16</f>
        <v>400000</v>
      </c>
      <c r="D17" s="10">
        <f t="shared" si="2"/>
        <v>130000</v>
      </c>
      <c r="E17" s="7">
        <f t="shared" si="3"/>
        <v>0.48148148148148145</v>
      </c>
      <c r="F17" s="2"/>
    </row>
    <row r="18" spans="1:6" ht="30" x14ac:dyDescent="0.25">
      <c r="A18" s="3" t="s">
        <v>10</v>
      </c>
      <c r="B18" s="5"/>
      <c r="C18" s="5"/>
      <c r="D18" s="5">
        <f>(C15-B15)*C16</f>
        <v>40000.000000000036</v>
      </c>
      <c r="E18" s="5"/>
      <c r="F18" s="2"/>
    </row>
    <row r="19" spans="1:6" x14ac:dyDescent="0.25">
      <c r="A19" s="8" t="s">
        <v>16</v>
      </c>
      <c r="B19" s="5"/>
      <c r="C19" s="5"/>
      <c r="D19" s="5"/>
      <c r="E19" s="5"/>
      <c r="F19" s="2"/>
    </row>
    <row r="20" spans="1:6" x14ac:dyDescent="0.25">
      <c r="A20" s="3" t="s">
        <v>11</v>
      </c>
      <c r="B20" s="5"/>
      <c r="C20" s="5"/>
      <c r="D20" s="5">
        <f>(C16-B16)*B15</f>
        <v>90000</v>
      </c>
      <c r="E20" s="5"/>
      <c r="F20" s="2"/>
    </row>
    <row r="21" spans="1:6" x14ac:dyDescent="0.25">
      <c r="A21" s="8" t="s">
        <v>17</v>
      </c>
      <c r="B21" s="5"/>
      <c r="C21" s="5"/>
      <c r="D21" s="5"/>
      <c r="E21" s="5"/>
      <c r="F21" s="2"/>
    </row>
    <row r="22" spans="1:6" x14ac:dyDescent="0.25">
      <c r="A22" s="2" t="s">
        <v>14</v>
      </c>
      <c r="B22" s="6"/>
      <c r="C22" s="6"/>
      <c r="D22" s="11">
        <f>D18+D20</f>
        <v>130000.00000000003</v>
      </c>
      <c r="E22" s="6"/>
      <c r="F22" s="2"/>
    </row>
    <row r="24" spans="1:6" x14ac:dyDescent="0.25">
      <c r="A24" t="s">
        <v>18</v>
      </c>
      <c r="E24" t="s">
        <v>20</v>
      </c>
    </row>
    <row r="25" spans="1:6" ht="30" x14ac:dyDescent="0.25">
      <c r="A25" s="2" t="s">
        <v>19</v>
      </c>
      <c r="B25" s="2"/>
      <c r="C25" s="2"/>
      <c r="D25" s="2"/>
      <c r="E25" s="2"/>
    </row>
    <row r="26" spans="1:6" x14ac:dyDescent="0.25">
      <c r="A26" s="4" t="s">
        <v>1</v>
      </c>
      <c r="B26" s="4" t="s">
        <v>2</v>
      </c>
      <c r="C26" s="4" t="s">
        <v>3</v>
      </c>
      <c r="D26" s="4" t="s">
        <v>4</v>
      </c>
      <c r="E26" s="4" t="s">
        <v>5</v>
      </c>
    </row>
    <row r="27" spans="1:6" x14ac:dyDescent="0.25">
      <c r="A27" s="3" t="s">
        <v>22</v>
      </c>
      <c r="B27" s="9">
        <v>56000</v>
      </c>
      <c r="C27" s="9">
        <v>60000</v>
      </c>
      <c r="D27" s="9">
        <f>C27-B27</f>
        <v>4000</v>
      </c>
      <c r="E27" s="7">
        <f>D27/B27</f>
        <v>7.1428571428571425E-2</v>
      </c>
    </row>
    <row r="28" spans="1:6" x14ac:dyDescent="0.25">
      <c r="A28" s="3" t="s">
        <v>28</v>
      </c>
      <c r="B28" s="5">
        <v>15000</v>
      </c>
      <c r="C28" s="5">
        <v>20000</v>
      </c>
      <c r="D28" s="5">
        <f t="shared" ref="D28" si="4">C28-B28</f>
        <v>5000</v>
      </c>
      <c r="E28" s="7">
        <f t="shared" ref="E28:E29" si="5">D28/B28</f>
        <v>0.33333333333333331</v>
      </c>
    </row>
    <row r="29" spans="1:6" x14ac:dyDescent="0.25">
      <c r="A29" s="3" t="s">
        <v>23</v>
      </c>
      <c r="B29" s="5">
        <f>B28*B27</f>
        <v>840000000</v>
      </c>
      <c r="C29" s="5">
        <f>C27*C28</f>
        <v>1200000000</v>
      </c>
      <c r="D29" s="10">
        <f>C29-B29</f>
        <v>360000000</v>
      </c>
      <c r="E29" s="7">
        <f t="shared" si="5"/>
        <v>0.42857142857142855</v>
      </c>
    </row>
    <row r="30" spans="1:6" ht="30" x14ac:dyDescent="0.25">
      <c r="A30" s="3" t="s">
        <v>27</v>
      </c>
      <c r="B30" s="5"/>
      <c r="C30" s="5"/>
      <c r="D30" s="5">
        <f>(C27-B27)*C28</f>
        <v>80000000</v>
      </c>
      <c r="E30" s="5"/>
    </row>
    <row r="31" spans="1:6" x14ac:dyDescent="0.25">
      <c r="A31" s="8" t="s">
        <v>24</v>
      </c>
      <c r="B31" s="5"/>
      <c r="C31" s="5"/>
      <c r="D31" s="5"/>
      <c r="E31" s="5"/>
    </row>
    <row r="32" spans="1:6" ht="30" x14ac:dyDescent="0.25">
      <c r="A32" s="3" t="s">
        <v>25</v>
      </c>
      <c r="B32" s="5"/>
      <c r="C32" s="5"/>
      <c r="D32" s="5">
        <f>(C28-B28)*B27</f>
        <v>280000000</v>
      </c>
      <c r="E32" s="5"/>
    </row>
    <row r="33" spans="1:13" x14ac:dyDescent="0.25">
      <c r="A33" s="8" t="s">
        <v>26</v>
      </c>
      <c r="B33" s="5"/>
      <c r="C33" s="5"/>
      <c r="D33" s="5"/>
      <c r="E33" s="5"/>
    </row>
    <row r="34" spans="1:13" x14ac:dyDescent="0.25">
      <c r="A34" s="2" t="s">
        <v>14</v>
      </c>
      <c r="B34" s="6"/>
      <c r="C34" s="6"/>
      <c r="D34" s="11">
        <f>D30+D32</f>
        <v>360000000</v>
      </c>
      <c r="E34" s="6"/>
    </row>
    <row r="36" spans="1:13" ht="30" x14ac:dyDescent="0.25">
      <c r="A36" s="2" t="s">
        <v>19</v>
      </c>
      <c r="B36" s="2"/>
      <c r="C36" s="2"/>
      <c r="D36" s="2"/>
      <c r="E36" s="2"/>
    </row>
    <row r="37" spans="1:13" x14ac:dyDescent="0.25">
      <c r="A37" s="4" t="s">
        <v>1</v>
      </c>
      <c r="B37" s="4" t="s">
        <v>2</v>
      </c>
      <c r="C37" s="4" t="s">
        <v>3</v>
      </c>
      <c r="D37" s="4" t="s">
        <v>4</v>
      </c>
      <c r="E37" s="4" t="s">
        <v>5</v>
      </c>
    </row>
    <row r="38" spans="1:13" x14ac:dyDescent="0.25">
      <c r="A38" s="3" t="s">
        <v>22</v>
      </c>
      <c r="B38" s="9">
        <v>56000</v>
      </c>
      <c r="C38" s="9">
        <v>75000</v>
      </c>
      <c r="D38" s="9">
        <f>C38-B38</f>
        <v>19000</v>
      </c>
      <c r="E38" s="7">
        <f>D38/B38</f>
        <v>0.3392857142857143</v>
      </c>
    </row>
    <row r="39" spans="1:13" x14ac:dyDescent="0.25">
      <c r="A39" s="3" t="s">
        <v>28</v>
      </c>
      <c r="B39" s="5">
        <v>15000</v>
      </c>
      <c r="C39" s="5">
        <v>12000</v>
      </c>
      <c r="D39" s="5">
        <f t="shared" ref="D39" si="6">C39-B39</f>
        <v>-3000</v>
      </c>
      <c r="E39" s="7">
        <f t="shared" ref="E39:E40" si="7">D39/B39</f>
        <v>-0.2</v>
      </c>
    </row>
    <row r="40" spans="1:13" x14ac:dyDescent="0.25">
      <c r="A40" s="3" t="s">
        <v>23</v>
      </c>
      <c r="B40" s="5">
        <f>B39*B38</f>
        <v>840000000</v>
      </c>
      <c r="C40" s="5">
        <f>C38*C39</f>
        <v>900000000</v>
      </c>
      <c r="D40" s="10">
        <f>C40-B40</f>
        <v>60000000</v>
      </c>
      <c r="E40" s="7">
        <f t="shared" si="7"/>
        <v>7.1428571428571425E-2</v>
      </c>
    </row>
    <row r="41" spans="1:13" ht="30" x14ac:dyDescent="0.25">
      <c r="A41" s="3" t="s">
        <v>27</v>
      </c>
      <c r="B41" s="5"/>
      <c r="C41" s="5"/>
      <c r="D41" s="5">
        <f>(C38-B38)*C39</f>
        <v>228000000</v>
      </c>
      <c r="E41" s="5"/>
    </row>
    <row r="42" spans="1:13" x14ac:dyDescent="0.25">
      <c r="A42" s="8" t="s">
        <v>24</v>
      </c>
      <c r="B42" s="5"/>
      <c r="C42" s="5"/>
      <c r="D42" s="5"/>
      <c r="E42" s="5"/>
    </row>
    <row r="43" spans="1:13" ht="30" x14ac:dyDescent="0.25">
      <c r="A43" s="3" t="s">
        <v>25</v>
      </c>
      <c r="B43" s="5"/>
      <c r="C43" s="5"/>
      <c r="D43" s="5">
        <f>(C39-B39)*B38</f>
        <v>-168000000</v>
      </c>
      <c r="E43" s="5"/>
    </row>
    <row r="44" spans="1:13" x14ac:dyDescent="0.25">
      <c r="A44" s="8" t="s">
        <v>26</v>
      </c>
      <c r="B44" s="5"/>
      <c r="C44" s="5"/>
      <c r="D44" s="5"/>
      <c r="E44" s="5"/>
    </row>
    <row r="45" spans="1:13" x14ac:dyDescent="0.25">
      <c r="A45" s="2" t="s">
        <v>14</v>
      </c>
      <c r="B45" s="6"/>
      <c r="C45" s="6"/>
      <c r="D45" s="11">
        <f>D41+D43</f>
        <v>60000000</v>
      </c>
      <c r="E45" s="6"/>
    </row>
    <row r="47" spans="1:13" ht="57" customHeight="1" x14ac:dyDescent="0.25">
      <c r="A47" s="69" t="s">
        <v>29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</row>
    <row r="48" spans="1:13" x14ac:dyDescent="0.25">
      <c r="A48" s="70" t="s">
        <v>30</v>
      </c>
      <c r="B48" s="71" t="s">
        <v>31</v>
      </c>
      <c r="C48" s="71"/>
    </row>
    <row r="49" spans="1:8" x14ac:dyDescent="0.25">
      <c r="A49" s="70"/>
      <c r="B49" s="12">
        <v>44196</v>
      </c>
      <c r="C49" s="12">
        <v>44561</v>
      </c>
    </row>
    <row r="50" spans="1:8" x14ac:dyDescent="0.25">
      <c r="A50" s="13" t="s">
        <v>32</v>
      </c>
      <c r="B50" s="14">
        <v>360</v>
      </c>
      <c r="C50" s="14">
        <v>412</v>
      </c>
    </row>
    <row r="51" spans="1:8" ht="25.5" x14ac:dyDescent="0.25">
      <c r="A51" s="13" t="s">
        <v>33</v>
      </c>
      <c r="B51" s="14">
        <v>125</v>
      </c>
      <c r="C51" s="14">
        <v>175</v>
      </c>
    </row>
    <row r="52" spans="1:8" x14ac:dyDescent="0.25">
      <c r="A52" s="13" t="s">
        <v>34</v>
      </c>
      <c r="B52" s="14">
        <v>53</v>
      </c>
      <c r="C52" s="14">
        <v>42</v>
      </c>
    </row>
    <row r="53" spans="1:8" ht="25.5" x14ac:dyDescent="0.25">
      <c r="A53" s="13" t="s">
        <v>35</v>
      </c>
      <c r="B53" s="14">
        <v>165</v>
      </c>
      <c r="C53" s="14">
        <v>215</v>
      </c>
    </row>
    <row r="54" spans="1:8" ht="25.5" x14ac:dyDescent="0.25">
      <c r="A54" s="13" t="s">
        <v>36</v>
      </c>
      <c r="B54" s="14">
        <v>85</v>
      </c>
      <c r="C54" s="14">
        <v>95</v>
      </c>
    </row>
    <row r="55" spans="1:8" x14ac:dyDescent="0.25">
      <c r="F55" t="s">
        <v>43</v>
      </c>
      <c r="H55" t="s">
        <v>44</v>
      </c>
    </row>
    <row r="56" spans="1:8" x14ac:dyDescent="0.25">
      <c r="A56" s="70" t="s">
        <v>30</v>
      </c>
      <c r="B56" s="71" t="s">
        <v>31</v>
      </c>
      <c r="C56" s="71"/>
      <c r="D56" s="1" t="s">
        <v>41</v>
      </c>
      <c r="E56" s="1"/>
      <c r="F56" s="1" t="s">
        <v>42</v>
      </c>
      <c r="G56" s="1"/>
      <c r="H56" s="1"/>
    </row>
    <row r="57" spans="1:8" ht="60" x14ac:dyDescent="0.25">
      <c r="A57" s="70"/>
      <c r="B57" s="12">
        <v>44196</v>
      </c>
      <c r="C57" s="12">
        <v>44561</v>
      </c>
      <c r="D57" s="4" t="s">
        <v>4</v>
      </c>
      <c r="E57" s="4" t="s">
        <v>46</v>
      </c>
      <c r="F57" s="12" t="s">
        <v>47</v>
      </c>
      <c r="G57" s="12" t="s">
        <v>48</v>
      </c>
      <c r="H57" s="3" t="s">
        <v>49</v>
      </c>
    </row>
    <row r="58" spans="1:8" x14ac:dyDescent="0.25">
      <c r="A58" s="15" t="s">
        <v>32</v>
      </c>
      <c r="B58" s="14">
        <v>360</v>
      </c>
      <c r="C58" s="14">
        <v>412</v>
      </c>
      <c r="D58" s="1">
        <f>C58-B58</f>
        <v>52</v>
      </c>
      <c r="E58" s="17">
        <f>D58/B58</f>
        <v>0.14444444444444443</v>
      </c>
      <c r="F58" s="17">
        <f>B58/B$65</f>
        <v>0.55384615384615388</v>
      </c>
      <c r="G58" s="17">
        <f>C58/C$65</f>
        <v>0.513715710723192</v>
      </c>
      <c r="H58" s="18">
        <f>G58-F58</f>
        <v>-4.0130443122961879E-2</v>
      </c>
    </row>
    <row r="59" spans="1:8" ht="25.5" x14ac:dyDescent="0.25">
      <c r="A59" s="15" t="s">
        <v>45</v>
      </c>
      <c r="B59" s="14">
        <f>B60+B61</f>
        <v>138</v>
      </c>
      <c r="C59" s="14">
        <f>C60+C61</f>
        <v>137</v>
      </c>
      <c r="D59" s="1">
        <f t="shared" ref="D59:D65" si="8">C59-B59</f>
        <v>-1</v>
      </c>
      <c r="E59" s="17">
        <f t="shared" ref="E59:E65" si="9">D59/B59</f>
        <v>-7.246376811594203E-3</v>
      </c>
      <c r="F59" s="17">
        <f t="shared" ref="F59:F65" si="10">B59/B$65</f>
        <v>0.21230769230769231</v>
      </c>
      <c r="G59" s="17">
        <f t="shared" ref="G59:G65" si="11">C59/C$65</f>
        <v>0.17082294264339151</v>
      </c>
      <c r="H59" s="18">
        <f t="shared" ref="H59:H65" si="12">G59-F59</f>
        <v>-4.1484749664300796E-2</v>
      </c>
    </row>
    <row r="60" spans="1:8" x14ac:dyDescent="0.25">
      <c r="A60" s="13" t="s">
        <v>34</v>
      </c>
      <c r="B60" s="1">
        <f>B52</f>
        <v>53</v>
      </c>
      <c r="C60" s="1">
        <f>C52</f>
        <v>42</v>
      </c>
      <c r="D60" s="1">
        <f t="shared" si="8"/>
        <v>-11</v>
      </c>
      <c r="E60" s="17">
        <f t="shared" si="9"/>
        <v>-0.20754716981132076</v>
      </c>
      <c r="F60" s="17">
        <f t="shared" si="10"/>
        <v>8.1538461538461532E-2</v>
      </c>
      <c r="G60" s="17">
        <f t="shared" si="11"/>
        <v>5.2369077306733167E-2</v>
      </c>
      <c r="H60" s="18">
        <f t="shared" si="12"/>
        <v>-2.9169384231728365E-2</v>
      </c>
    </row>
    <row r="61" spans="1:8" ht="25.5" x14ac:dyDescent="0.25">
      <c r="A61" s="13" t="s">
        <v>36</v>
      </c>
      <c r="B61" s="1">
        <f>B54</f>
        <v>85</v>
      </c>
      <c r="C61" s="1">
        <f>C54</f>
        <v>95</v>
      </c>
      <c r="D61" s="1">
        <f t="shared" si="8"/>
        <v>10</v>
      </c>
      <c r="E61" s="17">
        <f t="shared" si="9"/>
        <v>0.11764705882352941</v>
      </c>
      <c r="F61" s="17">
        <f t="shared" si="10"/>
        <v>0.13076923076923078</v>
      </c>
      <c r="G61" s="17">
        <f t="shared" si="11"/>
        <v>0.11845386533665836</v>
      </c>
      <c r="H61" s="18">
        <f t="shared" si="12"/>
        <v>-1.2315365432572417E-2</v>
      </c>
    </row>
    <row r="62" spans="1:8" ht="25.5" x14ac:dyDescent="0.25">
      <c r="A62" s="15" t="s">
        <v>37</v>
      </c>
      <c r="B62" s="1">
        <f>B63+B64</f>
        <v>152</v>
      </c>
      <c r="C62" s="1">
        <f>C63+C64</f>
        <v>253</v>
      </c>
      <c r="D62" s="1">
        <f t="shared" si="8"/>
        <v>101</v>
      </c>
      <c r="E62" s="17">
        <f t="shared" si="9"/>
        <v>0.66447368421052633</v>
      </c>
      <c r="F62" s="17">
        <f t="shared" si="10"/>
        <v>0.23384615384615384</v>
      </c>
      <c r="G62" s="17">
        <f t="shared" si="11"/>
        <v>0.31546134663341646</v>
      </c>
      <c r="H62" s="18">
        <f t="shared" si="12"/>
        <v>8.1615192787262619E-2</v>
      </c>
    </row>
    <row r="63" spans="1:8" ht="30" x14ac:dyDescent="0.25">
      <c r="A63" s="3" t="s">
        <v>38</v>
      </c>
      <c r="B63" s="1">
        <f>B51-B52</f>
        <v>72</v>
      </c>
      <c r="C63" s="1">
        <f>C51-C52</f>
        <v>133</v>
      </c>
      <c r="D63" s="1">
        <f t="shared" si="8"/>
        <v>61</v>
      </c>
      <c r="E63" s="17">
        <f t="shared" si="9"/>
        <v>0.84722222222222221</v>
      </c>
      <c r="F63" s="17">
        <f t="shared" si="10"/>
        <v>0.11076923076923077</v>
      </c>
      <c r="G63" s="17">
        <f t="shared" si="11"/>
        <v>0.16583541147132169</v>
      </c>
      <c r="H63" s="18">
        <f t="shared" si="12"/>
        <v>5.5066180702090919E-2</v>
      </c>
    </row>
    <row r="64" spans="1:8" ht="30" x14ac:dyDescent="0.25">
      <c r="A64" s="3" t="s">
        <v>39</v>
      </c>
      <c r="B64" s="1">
        <f>B53-B54</f>
        <v>80</v>
      </c>
      <c r="C64" s="1">
        <f>C53-C54</f>
        <v>120</v>
      </c>
      <c r="D64" s="1">
        <f t="shared" si="8"/>
        <v>40</v>
      </c>
      <c r="E64" s="17">
        <f t="shared" si="9"/>
        <v>0.5</v>
      </c>
      <c r="F64" s="17">
        <f t="shared" si="10"/>
        <v>0.12307692307692308</v>
      </c>
      <c r="G64" s="17">
        <f t="shared" si="11"/>
        <v>0.14962593516209477</v>
      </c>
      <c r="H64" s="18">
        <f t="shared" si="12"/>
        <v>2.6549012085171686E-2</v>
      </c>
    </row>
    <row r="65" spans="1:11" x14ac:dyDescent="0.25">
      <c r="A65" s="16" t="s">
        <v>40</v>
      </c>
      <c r="B65" s="1">
        <f>B58+B59+B62</f>
        <v>650</v>
      </c>
      <c r="C65" s="1">
        <f>C58+C59+C62</f>
        <v>802</v>
      </c>
      <c r="D65" s="1">
        <f t="shared" si="8"/>
        <v>152</v>
      </c>
      <c r="E65" s="17">
        <f t="shared" si="9"/>
        <v>0.23384615384615384</v>
      </c>
      <c r="F65" s="17">
        <f t="shared" si="10"/>
        <v>1</v>
      </c>
      <c r="G65" s="17">
        <f t="shared" si="11"/>
        <v>1</v>
      </c>
      <c r="H65" s="18">
        <f t="shared" si="12"/>
        <v>0</v>
      </c>
    </row>
    <row r="67" spans="1:11" ht="57.75" customHeight="1" x14ac:dyDescent="0.25">
      <c r="A67" s="69" t="s">
        <v>50</v>
      </c>
      <c r="B67" s="69"/>
      <c r="C67" s="69"/>
      <c r="D67" s="69"/>
      <c r="E67" s="69"/>
      <c r="F67" s="69"/>
      <c r="G67" s="69"/>
      <c r="H67" s="69"/>
      <c r="I67" s="69"/>
    </row>
    <row r="68" spans="1:11" x14ac:dyDescent="0.25">
      <c r="A68" s="70" t="s">
        <v>51</v>
      </c>
      <c r="B68" s="71" t="s">
        <v>52</v>
      </c>
      <c r="C68" s="71"/>
      <c r="D68" s="1"/>
      <c r="E68" s="1"/>
    </row>
    <row r="69" spans="1:11" ht="38.25" x14ac:dyDescent="0.25">
      <c r="A69" s="70"/>
      <c r="B69" s="20" t="s">
        <v>53</v>
      </c>
      <c r="C69" s="20" t="s">
        <v>54</v>
      </c>
      <c r="D69" s="3" t="s">
        <v>60</v>
      </c>
      <c r="E69" s="1" t="s">
        <v>59</v>
      </c>
    </row>
    <row r="70" spans="1:11" ht="25.5" x14ac:dyDescent="0.25">
      <c r="A70" s="20" t="s">
        <v>55</v>
      </c>
      <c r="B70" s="21">
        <v>25</v>
      </c>
      <c r="C70" s="21">
        <v>22</v>
      </c>
      <c r="D70" s="1">
        <f>(B70-C70)*20%</f>
        <v>0.60000000000000009</v>
      </c>
      <c r="E70" s="1" t="s">
        <v>61</v>
      </c>
    </row>
    <row r="71" spans="1:11" x14ac:dyDescent="0.25">
      <c r="A71" s="20" t="s">
        <v>56</v>
      </c>
      <c r="B71" s="21">
        <v>40</v>
      </c>
      <c r="C71" s="21">
        <v>30</v>
      </c>
      <c r="D71" s="1">
        <f>(B71-C71)*20%</f>
        <v>2</v>
      </c>
      <c r="E71" s="1" t="s">
        <v>61</v>
      </c>
    </row>
    <row r="72" spans="1:11" ht="38.25" x14ac:dyDescent="0.25">
      <c r="A72" s="20" t="s">
        <v>57</v>
      </c>
      <c r="B72" s="21">
        <v>4</v>
      </c>
      <c r="C72" s="21">
        <v>2</v>
      </c>
      <c r="D72" s="1">
        <f>(B72-C72)*20%</f>
        <v>0.4</v>
      </c>
      <c r="E72" s="1" t="s">
        <v>63</v>
      </c>
    </row>
    <row r="73" spans="1:11" ht="25.5" x14ac:dyDescent="0.25">
      <c r="A73" s="20" t="s">
        <v>58</v>
      </c>
      <c r="B73" s="21">
        <v>2.5</v>
      </c>
      <c r="C73" s="21">
        <v>0</v>
      </c>
      <c r="D73" s="1">
        <f>(B73-C73)*20%</f>
        <v>0.5</v>
      </c>
      <c r="E73" s="1" t="s">
        <v>64</v>
      </c>
    </row>
    <row r="74" spans="1:11" x14ac:dyDescent="0.25">
      <c r="A74" t="s">
        <v>62</v>
      </c>
      <c r="D74" s="24">
        <f>D70+D71+D72-D73</f>
        <v>2.5</v>
      </c>
    </row>
    <row r="75" spans="1:11" ht="140.25" customHeight="1" x14ac:dyDescent="0.25">
      <c r="A75" s="63" t="s">
        <v>65</v>
      </c>
      <c r="B75" s="63"/>
      <c r="C75" s="63"/>
      <c r="D75" s="63"/>
      <c r="E75" s="63"/>
      <c r="F75" s="63"/>
      <c r="G75" s="63"/>
      <c r="H75" s="63"/>
      <c r="I75" s="63"/>
    </row>
    <row r="76" spans="1:11" x14ac:dyDescent="0.25">
      <c r="A76" s="25" t="s">
        <v>66</v>
      </c>
      <c r="B76" s="1" t="s">
        <v>67</v>
      </c>
      <c r="C76" s="1" t="s">
        <v>68</v>
      </c>
      <c r="D76" s="1" t="s">
        <v>69</v>
      </c>
      <c r="F76" t="s">
        <v>70</v>
      </c>
      <c r="K76" t="s">
        <v>76</v>
      </c>
    </row>
    <row r="77" spans="1:11" x14ac:dyDescent="0.25">
      <c r="A77" s="1" t="s">
        <v>77</v>
      </c>
      <c r="B77" s="1">
        <v>60</v>
      </c>
      <c r="C77" s="1">
        <v>51</v>
      </c>
      <c r="D77" s="1">
        <v>320</v>
      </c>
      <c r="E77" s="1" t="s">
        <v>1</v>
      </c>
      <c r="F77" s="1" t="s">
        <v>67</v>
      </c>
      <c r="G77" s="1" t="s">
        <v>68</v>
      </c>
      <c r="I77" s="1" t="s">
        <v>1</v>
      </c>
      <c r="J77" s="1" t="s">
        <v>67</v>
      </c>
      <c r="K77" s="1" t="s">
        <v>68</v>
      </c>
    </row>
    <row r="78" spans="1:11" x14ac:dyDescent="0.25">
      <c r="A78" s="1" t="s">
        <v>78</v>
      </c>
      <c r="B78" s="1">
        <v>41</v>
      </c>
      <c r="C78" s="1">
        <v>60</v>
      </c>
      <c r="D78" s="28">
        <f>320/1.2</f>
        <v>266.66666666666669</v>
      </c>
      <c r="E78" s="1" t="s">
        <v>71</v>
      </c>
      <c r="F78" s="1">
        <v>88</v>
      </c>
      <c r="G78" s="1"/>
      <c r="I78" s="1" t="s">
        <v>71</v>
      </c>
      <c r="J78" s="1"/>
      <c r="K78" s="1">
        <v>145</v>
      </c>
    </row>
    <row r="79" spans="1:11" x14ac:dyDescent="0.25">
      <c r="A79" s="1" t="s">
        <v>79</v>
      </c>
      <c r="B79" s="30">
        <v>19</v>
      </c>
      <c r="C79" s="1">
        <v>60</v>
      </c>
      <c r="D79" s="28">
        <f>320-D78</f>
        <v>53.333333333333314</v>
      </c>
      <c r="E79" s="1" t="s">
        <v>72</v>
      </c>
      <c r="F79" s="29">
        <f>D79</f>
        <v>53.333333333333314</v>
      </c>
      <c r="G79" s="30">
        <f>D80</f>
        <v>44</v>
      </c>
      <c r="I79" s="1" t="s">
        <v>72</v>
      </c>
      <c r="J79" s="31">
        <f>D80+D85</f>
        <v>92</v>
      </c>
      <c r="K79" s="31">
        <f>D84</f>
        <v>75</v>
      </c>
    </row>
    <row r="80" spans="1:11" x14ac:dyDescent="0.25">
      <c r="A80" s="1" t="s">
        <v>80</v>
      </c>
      <c r="B80" s="31" t="s">
        <v>81</v>
      </c>
      <c r="C80" s="30">
        <v>19</v>
      </c>
      <c r="D80" s="1">
        <v>44</v>
      </c>
      <c r="E80" s="1" t="s">
        <v>73</v>
      </c>
      <c r="F80" s="28">
        <f>F78+F79-G79</f>
        <v>97.333333333333314</v>
      </c>
      <c r="G80" s="1"/>
      <c r="I80" s="1" t="s">
        <v>73</v>
      </c>
      <c r="J80" s="1"/>
      <c r="K80" s="1">
        <f>K78+K79-J79</f>
        <v>128</v>
      </c>
    </row>
    <row r="81" spans="1:11" ht="30" x14ac:dyDescent="0.25">
      <c r="A81" s="3" t="s">
        <v>82</v>
      </c>
      <c r="B81" s="1">
        <v>51</v>
      </c>
      <c r="C81" s="1">
        <v>62</v>
      </c>
      <c r="D81" s="1">
        <v>450</v>
      </c>
      <c r="E81" s="3" t="s">
        <v>74</v>
      </c>
      <c r="F81" s="28">
        <f>F80-F78</f>
        <v>9.3333333333333144</v>
      </c>
      <c r="G81" s="1"/>
      <c r="I81" s="3" t="s">
        <v>74</v>
      </c>
      <c r="J81" s="1"/>
      <c r="K81" s="1">
        <f>K80-K78</f>
        <v>-17</v>
      </c>
    </row>
    <row r="82" spans="1:11" ht="30" x14ac:dyDescent="0.25">
      <c r="A82" s="3" t="s">
        <v>83</v>
      </c>
      <c r="B82" s="1">
        <v>62</v>
      </c>
      <c r="C82" s="1" t="s">
        <v>84</v>
      </c>
      <c r="D82" s="1">
        <f>450</f>
        <v>450</v>
      </c>
      <c r="E82" s="3" t="s">
        <v>75</v>
      </c>
      <c r="F82" s="17">
        <f>F81/F78</f>
        <v>0.10606060606060584</v>
      </c>
      <c r="G82" s="1"/>
      <c r="I82" s="3" t="s">
        <v>75</v>
      </c>
      <c r="J82" s="1"/>
      <c r="K82" s="17">
        <f>K81/K78</f>
        <v>-0.11724137931034483</v>
      </c>
    </row>
    <row r="83" spans="1:11" x14ac:dyDescent="0.25">
      <c r="A83" s="3" t="s">
        <v>85</v>
      </c>
      <c r="B83" s="1" t="s">
        <v>86</v>
      </c>
      <c r="C83" s="1">
        <v>41</v>
      </c>
      <c r="D83" s="28">
        <f>D78</f>
        <v>266.66666666666669</v>
      </c>
    </row>
    <row r="84" spans="1:11" x14ac:dyDescent="0.25">
      <c r="A84" s="3" t="s">
        <v>87</v>
      </c>
      <c r="B84" s="1" t="s">
        <v>88</v>
      </c>
      <c r="C84" s="31" t="s">
        <v>81</v>
      </c>
      <c r="D84" s="1">
        <f>D82*20/120</f>
        <v>75</v>
      </c>
    </row>
    <row r="85" spans="1:11" x14ac:dyDescent="0.25">
      <c r="A85" s="3" t="s">
        <v>89</v>
      </c>
      <c r="B85" s="31" t="s">
        <v>81</v>
      </c>
      <c r="C85" s="1">
        <v>51</v>
      </c>
      <c r="D85" s="1">
        <v>48</v>
      </c>
    </row>
    <row r="86" spans="1:11" ht="30" x14ac:dyDescent="0.25">
      <c r="A86" s="3" t="s">
        <v>90</v>
      </c>
      <c r="B86" s="1" t="s">
        <v>91</v>
      </c>
      <c r="C86" s="1">
        <v>99</v>
      </c>
      <c r="D86" s="1"/>
    </row>
    <row r="88" spans="1:11" ht="33" customHeight="1" x14ac:dyDescent="0.25">
      <c r="A88" s="72" t="s">
        <v>92</v>
      </c>
      <c r="B88" s="63"/>
      <c r="C88" s="63"/>
      <c r="D88" s="63"/>
      <c r="E88" s="63"/>
      <c r="F88" s="63"/>
      <c r="G88" s="63"/>
      <c r="H88" s="63"/>
      <c r="I88" s="63"/>
      <c r="J88" s="19"/>
    </row>
    <row r="89" spans="1:11" x14ac:dyDescent="0.25">
      <c r="A89" s="20" t="s">
        <v>93</v>
      </c>
      <c r="B89" s="32">
        <v>44196</v>
      </c>
      <c r="C89" s="32">
        <v>44561</v>
      </c>
      <c r="D89" s="1" t="s">
        <v>96</v>
      </c>
      <c r="E89" s="1" t="s">
        <v>75</v>
      </c>
    </row>
    <row r="90" spans="1:11" x14ac:dyDescent="0.25">
      <c r="A90" s="20" t="s">
        <v>32</v>
      </c>
      <c r="B90" s="21">
        <v>1700</v>
      </c>
      <c r="C90" s="21">
        <v>2000</v>
      </c>
      <c r="D90" s="1">
        <f>C90-B90</f>
        <v>300</v>
      </c>
      <c r="E90" s="17">
        <f>D90/B90</f>
        <v>0.17647058823529413</v>
      </c>
    </row>
    <row r="91" spans="1:11" x14ac:dyDescent="0.25">
      <c r="A91" s="20" t="s">
        <v>94</v>
      </c>
      <c r="B91" s="21">
        <v>1440</v>
      </c>
      <c r="C91" s="21">
        <v>1400</v>
      </c>
      <c r="D91" s="1">
        <f t="shared" ref="D91:D97" si="13">C91-B91</f>
        <v>-40</v>
      </c>
      <c r="E91" s="17">
        <f t="shared" ref="E91:E96" si="14">D91/B91</f>
        <v>-2.7777777777777776E-2</v>
      </c>
    </row>
    <row r="92" spans="1:11" x14ac:dyDescent="0.25">
      <c r="A92" s="20" t="s">
        <v>101</v>
      </c>
      <c r="B92" s="21">
        <v>1060</v>
      </c>
      <c r="C92" s="21">
        <v>1300</v>
      </c>
      <c r="D92" s="1">
        <f t="shared" si="13"/>
        <v>240</v>
      </c>
      <c r="E92" s="17">
        <f t="shared" si="14"/>
        <v>0.22641509433962265</v>
      </c>
    </row>
    <row r="93" spans="1:11" x14ac:dyDescent="0.25">
      <c r="A93" s="20" t="s">
        <v>95</v>
      </c>
      <c r="B93" s="21">
        <v>800</v>
      </c>
      <c r="C93" s="21">
        <v>700</v>
      </c>
      <c r="D93" s="1">
        <f t="shared" si="13"/>
        <v>-100</v>
      </c>
      <c r="E93" s="17">
        <f t="shared" si="14"/>
        <v>-0.125</v>
      </c>
    </row>
    <row r="94" spans="1:11" x14ac:dyDescent="0.25">
      <c r="A94" s="1" t="s">
        <v>97</v>
      </c>
      <c r="B94" s="1">
        <f>B91+B92</f>
        <v>2500</v>
      </c>
      <c r="C94" s="1">
        <f>C91+C92</f>
        <v>2700</v>
      </c>
      <c r="D94" s="1">
        <f t="shared" si="13"/>
        <v>200</v>
      </c>
      <c r="E94" s="17">
        <f t="shared" si="14"/>
        <v>0.08</v>
      </c>
    </row>
    <row r="95" spans="1:11" x14ac:dyDescent="0.25">
      <c r="A95" s="1" t="s">
        <v>98</v>
      </c>
      <c r="B95" s="1">
        <f>B90+B93</f>
        <v>2500</v>
      </c>
      <c r="C95" s="1">
        <f>C90+C93</f>
        <v>2700</v>
      </c>
      <c r="D95" s="1">
        <f t="shared" si="13"/>
        <v>200</v>
      </c>
      <c r="E95" s="17">
        <f t="shared" si="14"/>
        <v>0.08</v>
      </c>
    </row>
    <row r="96" spans="1:11" x14ac:dyDescent="0.25">
      <c r="A96" s="25" t="s">
        <v>99</v>
      </c>
      <c r="B96" s="1">
        <f>B90-B91</f>
        <v>260</v>
      </c>
      <c r="C96" s="1">
        <f>C90-C91</f>
        <v>600</v>
      </c>
      <c r="D96" s="1">
        <f t="shared" si="13"/>
        <v>340</v>
      </c>
      <c r="E96" s="17">
        <f t="shared" si="14"/>
        <v>1.3076923076923077</v>
      </c>
    </row>
    <row r="97" spans="1:10" x14ac:dyDescent="0.25">
      <c r="A97" s="25" t="s">
        <v>100</v>
      </c>
      <c r="B97" s="27">
        <f>B96/B92</f>
        <v>0.24528301886792453</v>
      </c>
      <c r="C97" s="27">
        <f>C96/C92</f>
        <v>0.46153846153846156</v>
      </c>
      <c r="D97" s="26">
        <f t="shared" si="13"/>
        <v>0.21625544267053703</v>
      </c>
      <c r="E97" s="17"/>
    </row>
    <row r="99" spans="1:10" ht="33" customHeight="1" x14ac:dyDescent="0.25">
      <c r="A99" s="63" t="s">
        <v>102</v>
      </c>
      <c r="B99" s="63"/>
      <c r="C99" s="63"/>
      <c r="D99" s="63"/>
      <c r="E99" s="63"/>
      <c r="F99" s="63"/>
      <c r="G99" s="63"/>
      <c r="H99" s="63"/>
      <c r="I99" s="63"/>
      <c r="J99" s="63"/>
    </row>
    <row r="100" spans="1:10" ht="25.5" x14ac:dyDescent="0.25">
      <c r="A100" s="20" t="s">
        <v>103</v>
      </c>
      <c r="B100" s="21" t="s">
        <v>104</v>
      </c>
    </row>
    <row r="101" spans="1:10" ht="38.25" x14ac:dyDescent="0.25">
      <c r="A101" s="20" t="s">
        <v>105</v>
      </c>
      <c r="B101" s="21">
        <v>1500</v>
      </c>
    </row>
    <row r="102" spans="1:10" x14ac:dyDescent="0.25">
      <c r="A102" s="20" t="s">
        <v>106</v>
      </c>
      <c r="B102" s="21">
        <v>1090</v>
      </c>
    </row>
    <row r="103" spans="1:10" ht="25.5" x14ac:dyDescent="0.25">
      <c r="A103" s="20" t="s">
        <v>107</v>
      </c>
      <c r="B103" s="21">
        <v>205</v>
      </c>
    </row>
    <row r="104" spans="1:10" ht="25.5" x14ac:dyDescent="0.25">
      <c r="A104" s="20" t="s">
        <v>108</v>
      </c>
      <c r="B104" s="21">
        <v>2150</v>
      </c>
    </row>
    <row r="105" spans="1:10" ht="25.5" x14ac:dyDescent="0.25">
      <c r="A105" s="20" t="s">
        <v>109</v>
      </c>
      <c r="B105" s="21">
        <v>100</v>
      </c>
    </row>
    <row r="106" spans="1:10" ht="25.5" x14ac:dyDescent="0.25">
      <c r="A106" s="33" t="s">
        <v>110</v>
      </c>
      <c r="B106" s="34">
        <v>320</v>
      </c>
    </row>
    <row r="107" spans="1:10" ht="25.5" x14ac:dyDescent="0.25">
      <c r="A107" s="35" t="s">
        <v>103</v>
      </c>
      <c r="B107" s="36" t="s">
        <v>111</v>
      </c>
    </row>
    <row r="108" spans="1:10" x14ac:dyDescent="0.25">
      <c r="A108" s="37" t="s">
        <v>112</v>
      </c>
      <c r="B108" s="36">
        <f>B102+B103</f>
        <v>1295</v>
      </c>
    </row>
    <row r="109" spans="1:10" ht="38.25" x14ac:dyDescent="0.25">
      <c r="A109" s="37" t="s">
        <v>113</v>
      </c>
      <c r="B109" s="36">
        <f>B104-B101</f>
        <v>650</v>
      </c>
    </row>
    <row r="110" spans="1:10" x14ac:dyDescent="0.25">
      <c r="A110" s="37" t="s">
        <v>114</v>
      </c>
      <c r="B110" s="36">
        <f>B109+B105</f>
        <v>750</v>
      </c>
    </row>
    <row r="111" spans="1:10" ht="38.25" x14ac:dyDescent="0.25">
      <c r="A111" s="37" t="s">
        <v>115</v>
      </c>
      <c r="B111" s="36">
        <f>B110+B106</f>
        <v>1070</v>
      </c>
      <c r="C111" s="39" t="s">
        <v>129</v>
      </c>
      <c r="D111" s="37" t="s">
        <v>119</v>
      </c>
      <c r="E111" s="37" t="s">
        <v>120</v>
      </c>
    </row>
    <row r="112" spans="1:10" ht="38.25" x14ac:dyDescent="0.25">
      <c r="A112" s="37" t="s">
        <v>116</v>
      </c>
      <c r="B112" s="36">
        <f>B109-B108</f>
        <v>-645</v>
      </c>
      <c r="C112" s="40">
        <v>0</v>
      </c>
      <c r="D112" s="37" t="s">
        <v>121</v>
      </c>
      <c r="E112" s="38" t="s">
        <v>122</v>
      </c>
    </row>
    <row r="113" spans="1:8" ht="25.5" x14ac:dyDescent="0.25">
      <c r="A113" s="37" t="s">
        <v>117</v>
      </c>
      <c r="B113" s="36">
        <f>B110-B108</f>
        <v>-545</v>
      </c>
      <c r="C113" s="40">
        <v>0</v>
      </c>
      <c r="D113" s="37" t="s">
        <v>123</v>
      </c>
      <c r="E113" s="38" t="s">
        <v>124</v>
      </c>
    </row>
    <row r="114" spans="1:8" ht="25.5" x14ac:dyDescent="0.25">
      <c r="A114" s="37" t="s">
        <v>118</v>
      </c>
      <c r="B114" s="36">
        <f>B111-B108</f>
        <v>-225</v>
      </c>
      <c r="C114" s="40">
        <v>0</v>
      </c>
      <c r="D114" s="37" t="s">
        <v>125</v>
      </c>
      <c r="E114" s="38" t="s">
        <v>126</v>
      </c>
    </row>
    <row r="115" spans="1:8" ht="25.5" x14ac:dyDescent="0.25">
      <c r="A115" s="37" t="s">
        <v>128</v>
      </c>
      <c r="C115" s="41" t="s">
        <v>130</v>
      </c>
      <c r="D115" s="37" t="s">
        <v>127</v>
      </c>
      <c r="E115" s="37" t="s">
        <v>128</v>
      </c>
    </row>
    <row r="116" spans="1:8" ht="38.25" x14ac:dyDescent="0.25">
      <c r="C116" s="45" t="s">
        <v>126</v>
      </c>
    </row>
    <row r="117" spans="1:8" x14ac:dyDescent="0.25">
      <c r="A117" s="43" t="s">
        <v>132</v>
      </c>
    </row>
    <row r="118" spans="1:8" x14ac:dyDescent="0.25">
      <c r="A118" s="42" t="s">
        <v>131</v>
      </c>
      <c r="B118" s="44">
        <f>B110/B108</f>
        <v>0.5791505791505791</v>
      </c>
    </row>
    <row r="120" spans="1:8" ht="37.5" customHeight="1" thickBot="1" x14ac:dyDescent="0.3">
      <c r="A120" s="64" t="s">
        <v>133</v>
      </c>
      <c r="B120" s="64"/>
      <c r="C120" s="64"/>
      <c r="D120" s="64"/>
      <c r="E120" s="64"/>
      <c r="F120" s="64"/>
      <c r="G120" s="64"/>
      <c r="H120" s="64"/>
    </row>
    <row r="121" spans="1:8" ht="15.75" thickBot="1" x14ac:dyDescent="0.3">
      <c r="A121" s="65" t="s">
        <v>134</v>
      </c>
      <c r="B121" s="67" t="s">
        <v>135</v>
      </c>
      <c r="C121" s="68"/>
    </row>
    <row r="122" spans="1:8" x14ac:dyDescent="0.25">
      <c r="A122" s="66"/>
      <c r="B122" s="46">
        <v>44196</v>
      </c>
      <c r="C122" s="52">
        <v>44561</v>
      </c>
      <c r="D122" s="1" t="s">
        <v>144</v>
      </c>
      <c r="E122" s="1" t="s">
        <v>145</v>
      </c>
    </row>
    <row r="123" spans="1:8" x14ac:dyDescent="0.25">
      <c r="A123" s="20" t="s">
        <v>136</v>
      </c>
      <c r="B123" s="48">
        <v>16360</v>
      </c>
      <c r="C123" s="53">
        <v>19900</v>
      </c>
      <c r="D123" s="51">
        <f>C123-B123</f>
        <v>3540</v>
      </c>
      <c r="E123" s="17">
        <f>D123/B123</f>
        <v>0.21638141809290953</v>
      </c>
    </row>
    <row r="124" spans="1:8" x14ac:dyDescent="0.25">
      <c r="A124" s="47" t="s">
        <v>137</v>
      </c>
      <c r="B124" s="48">
        <v>668</v>
      </c>
      <c r="C124" s="53">
        <v>764</v>
      </c>
      <c r="D124" s="51">
        <f t="shared" ref="D124:D132" si="15">C124-B124</f>
        <v>96</v>
      </c>
      <c r="E124" s="17">
        <f t="shared" ref="E124:E132" si="16">D124/B124</f>
        <v>0.1437125748502994</v>
      </c>
    </row>
    <row r="125" spans="1:8" ht="25.5" x14ac:dyDescent="0.25">
      <c r="A125" s="20" t="s">
        <v>141</v>
      </c>
      <c r="B125" s="48">
        <v>4708</v>
      </c>
      <c r="C125" s="53">
        <v>6512</v>
      </c>
      <c r="D125" s="51">
        <f t="shared" si="15"/>
        <v>1804</v>
      </c>
      <c r="E125" s="17">
        <f t="shared" si="16"/>
        <v>0.38317757009345793</v>
      </c>
    </row>
    <row r="126" spans="1:8" x14ac:dyDescent="0.25">
      <c r="A126" s="47" t="s">
        <v>138</v>
      </c>
      <c r="B126" s="48">
        <v>470</v>
      </c>
      <c r="C126" s="53">
        <v>860</v>
      </c>
      <c r="D126" s="51">
        <f t="shared" si="15"/>
        <v>390</v>
      </c>
      <c r="E126" s="17">
        <f t="shared" si="16"/>
        <v>0.82978723404255317</v>
      </c>
    </row>
    <row r="127" spans="1:8" x14ac:dyDescent="0.25">
      <c r="A127" s="20" t="s">
        <v>139</v>
      </c>
      <c r="B127" s="48">
        <v>9784</v>
      </c>
      <c r="C127" s="53">
        <v>10900</v>
      </c>
      <c r="D127" s="51">
        <f t="shared" si="15"/>
        <v>1116</v>
      </c>
      <c r="E127" s="17">
        <f t="shared" si="16"/>
        <v>0.11406377759607522</v>
      </c>
    </row>
    <row r="128" spans="1:8" x14ac:dyDescent="0.25">
      <c r="A128" s="47" t="s">
        <v>140</v>
      </c>
      <c r="B128" s="48">
        <v>1200</v>
      </c>
      <c r="C128" s="53">
        <v>1355</v>
      </c>
      <c r="D128" s="51">
        <f t="shared" si="15"/>
        <v>155</v>
      </c>
      <c r="E128" s="17">
        <f t="shared" si="16"/>
        <v>0.12916666666666668</v>
      </c>
    </row>
    <row r="129" spans="1:7" ht="25.5" x14ac:dyDescent="0.25">
      <c r="A129" s="20" t="s">
        <v>107</v>
      </c>
      <c r="B129" s="48">
        <v>700</v>
      </c>
      <c r="C129" s="53">
        <v>924</v>
      </c>
      <c r="D129" s="51">
        <f t="shared" si="15"/>
        <v>224</v>
      </c>
      <c r="E129" s="17">
        <f t="shared" si="16"/>
        <v>0.32</v>
      </c>
    </row>
    <row r="130" spans="1:7" x14ac:dyDescent="0.25">
      <c r="A130" s="57" t="s">
        <v>95</v>
      </c>
      <c r="B130" s="58">
        <v>5120</v>
      </c>
      <c r="C130" s="59">
        <v>9600</v>
      </c>
      <c r="D130" s="51">
        <f t="shared" si="15"/>
        <v>4480</v>
      </c>
      <c r="E130" s="17">
        <f t="shared" si="16"/>
        <v>0.875</v>
      </c>
    </row>
    <row r="131" spans="1:7" x14ac:dyDescent="0.25">
      <c r="A131" s="50" t="s">
        <v>142</v>
      </c>
      <c r="B131" s="51">
        <f>B129+B127+B125+B124</f>
        <v>15860</v>
      </c>
      <c r="C131" s="54">
        <f>C129+C127+C125+C124</f>
        <v>19100</v>
      </c>
      <c r="D131" s="51">
        <f t="shared" si="15"/>
        <v>3240</v>
      </c>
      <c r="E131" s="17">
        <f t="shared" si="16"/>
        <v>0.20428751576292559</v>
      </c>
    </row>
    <row r="132" spans="1:7" x14ac:dyDescent="0.25">
      <c r="A132" s="1" t="s">
        <v>143</v>
      </c>
      <c r="B132" s="51">
        <f>B123-B131</f>
        <v>500</v>
      </c>
      <c r="C132" s="54">
        <f>C123-C131</f>
        <v>800</v>
      </c>
      <c r="D132" s="51">
        <f t="shared" si="15"/>
        <v>300</v>
      </c>
      <c r="E132" s="17">
        <f t="shared" si="16"/>
        <v>0.6</v>
      </c>
    </row>
    <row r="133" spans="1:7" x14ac:dyDescent="0.25">
      <c r="B133" s="49"/>
      <c r="C133" s="49"/>
      <c r="D133" s="49"/>
      <c r="E133" s="49"/>
    </row>
    <row r="134" spans="1:7" x14ac:dyDescent="0.25">
      <c r="A134" s="1" t="s">
        <v>1</v>
      </c>
      <c r="B134" s="12">
        <v>44196</v>
      </c>
      <c r="C134" s="12">
        <v>44561</v>
      </c>
      <c r="D134" s="1" t="s">
        <v>144</v>
      </c>
      <c r="E134" s="55"/>
    </row>
    <row r="135" spans="1:7" ht="51" x14ac:dyDescent="0.25">
      <c r="A135" s="4" t="s">
        <v>154</v>
      </c>
      <c r="B135" s="61">
        <f>B124/B130</f>
        <v>0.13046874999999999</v>
      </c>
      <c r="C135" s="61">
        <f>C124/C130</f>
        <v>7.9583333333333339E-2</v>
      </c>
      <c r="D135" s="62">
        <f>C135-B135</f>
        <v>-5.0885416666666655E-2</v>
      </c>
      <c r="E135" s="20" t="s">
        <v>146</v>
      </c>
      <c r="F135" s="20" t="s">
        <v>147</v>
      </c>
    </row>
    <row r="136" spans="1:7" ht="76.5" x14ac:dyDescent="0.25">
      <c r="A136" s="4" t="s">
        <v>152</v>
      </c>
      <c r="B136" s="61">
        <f>(B124+B125)/B130</f>
        <v>1.05</v>
      </c>
      <c r="C136" s="61">
        <f>(C124+C125)/C130</f>
        <v>0.75791666666666668</v>
      </c>
      <c r="D136" s="62">
        <f t="shared" ref="D136:D139" si="17">C136-B136</f>
        <v>-0.29208333333333336</v>
      </c>
      <c r="E136" s="20" t="s">
        <v>148</v>
      </c>
      <c r="F136" s="50" t="s">
        <v>149</v>
      </c>
    </row>
    <row r="137" spans="1:7" ht="38.25" x14ac:dyDescent="0.25">
      <c r="A137" s="4" t="s">
        <v>153</v>
      </c>
      <c r="B137" s="60">
        <f>(B123-B132)/B130</f>
        <v>3.09765625</v>
      </c>
      <c r="C137" s="60">
        <f>(C123-C132)/C130</f>
        <v>1.9895833333333333</v>
      </c>
      <c r="D137" s="62">
        <f t="shared" si="17"/>
        <v>-1.1080729166666667</v>
      </c>
      <c r="E137" s="20" t="s">
        <v>150</v>
      </c>
      <c r="F137" s="50" t="s">
        <v>151</v>
      </c>
    </row>
    <row r="138" spans="1:7" ht="60" x14ac:dyDescent="0.25">
      <c r="A138" s="3" t="s">
        <v>155</v>
      </c>
      <c r="B138" s="60">
        <f>(B124+B125-B126)/B130</f>
        <v>0.95820312500000004</v>
      </c>
      <c r="C138" s="60">
        <f>(C124+C125-C126)/C130</f>
        <v>0.66833333333333333</v>
      </c>
      <c r="D138" s="62">
        <f t="shared" si="17"/>
        <v>-0.28986979166666671</v>
      </c>
      <c r="E138" s="56"/>
    </row>
    <row r="139" spans="1:7" ht="60" x14ac:dyDescent="0.25">
      <c r="A139" s="3" t="s">
        <v>156</v>
      </c>
      <c r="B139" s="60">
        <f>(B123-B132-B126-B128)/B130</f>
        <v>2.771484375</v>
      </c>
      <c r="C139" s="60">
        <f>(C123-C132-C126-C128)/C130</f>
        <v>1.7588541666666666</v>
      </c>
      <c r="D139" s="62">
        <f t="shared" si="17"/>
        <v>-1.0126302083333334</v>
      </c>
      <c r="E139" s="51"/>
    </row>
    <row r="140" spans="1:7" x14ac:dyDescent="0.25">
      <c r="A140" s="1"/>
      <c r="B140" s="51"/>
      <c r="C140" s="51"/>
      <c r="D140" s="51"/>
      <c r="E140" s="51"/>
    </row>
    <row r="141" spans="1:7" x14ac:dyDescent="0.25">
      <c r="A141" s="73" t="s">
        <v>157</v>
      </c>
      <c r="B141" s="69"/>
      <c r="C141" s="69"/>
      <c r="D141" s="69"/>
      <c r="E141" s="69"/>
      <c r="F141" s="69"/>
      <c r="G141" s="69"/>
    </row>
    <row r="142" spans="1:7" x14ac:dyDescent="0.25">
      <c r="A142" s="74"/>
      <c r="B142" s="55"/>
      <c r="C142" s="55"/>
      <c r="D142" s="55"/>
      <c r="E142" s="51"/>
    </row>
    <row r="143" spans="1:7" ht="25.5" x14ac:dyDescent="0.25">
      <c r="A143" s="22" t="s">
        <v>103</v>
      </c>
      <c r="B143" s="22" t="s">
        <v>158</v>
      </c>
      <c r="C143" s="22" t="s">
        <v>159</v>
      </c>
      <c r="D143" s="51" t="s">
        <v>163</v>
      </c>
      <c r="E143" s="49"/>
    </row>
    <row r="144" spans="1:7" x14ac:dyDescent="0.25">
      <c r="A144" s="22" t="s">
        <v>160</v>
      </c>
      <c r="B144" s="76">
        <f>B147*B146</f>
        <v>32500</v>
      </c>
      <c r="C144" s="77">
        <f>B144+D144</f>
        <v>42500</v>
      </c>
      <c r="D144" s="51">
        <v>10000</v>
      </c>
      <c r="E144" s="49"/>
    </row>
    <row r="145" spans="1:8" x14ac:dyDescent="0.25">
      <c r="A145" s="47" t="s">
        <v>161</v>
      </c>
      <c r="B145" s="76">
        <f>B144-B148*B146</f>
        <v>13000</v>
      </c>
      <c r="C145" s="77">
        <f>B145+D145</f>
        <v>15500</v>
      </c>
      <c r="D145" s="51">
        <v>2500</v>
      </c>
      <c r="E145" s="49"/>
    </row>
    <row r="146" spans="1:8" x14ac:dyDescent="0.25">
      <c r="A146" s="22" t="s">
        <v>95</v>
      </c>
      <c r="B146" s="76">
        <v>26000</v>
      </c>
      <c r="C146" s="78">
        <v>39000</v>
      </c>
      <c r="D146" s="51"/>
      <c r="E146" s="49"/>
    </row>
    <row r="147" spans="1:8" ht="38.25" x14ac:dyDescent="0.25">
      <c r="A147" s="22" t="s">
        <v>153</v>
      </c>
      <c r="B147" s="76">
        <v>1.25</v>
      </c>
      <c r="C147" s="79">
        <f>C144/C146</f>
        <v>1.0897435897435896</v>
      </c>
      <c r="D147" s="54"/>
      <c r="E147" s="22" t="s">
        <v>150</v>
      </c>
      <c r="F147" s="50" t="s">
        <v>151</v>
      </c>
    </row>
    <row r="148" spans="1:8" ht="25.5" x14ac:dyDescent="0.25">
      <c r="A148" s="22" t="s">
        <v>162</v>
      </c>
      <c r="B148" s="76">
        <v>0.75</v>
      </c>
      <c r="C148" s="80">
        <f>(C144-C145)/C146</f>
        <v>0.69230769230769229</v>
      </c>
      <c r="D148" s="54"/>
      <c r="E148" s="22" t="s">
        <v>165</v>
      </c>
      <c r="F148" s="50" t="s">
        <v>149</v>
      </c>
    </row>
    <row r="149" spans="1:8" ht="25.5" x14ac:dyDescent="0.25">
      <c r="A149" s="75" t="s">
        <v>164</v>
      </c>
      <c r="B149" s="49"/>
      <c r="C149" s="49"/>
      <c r="D149" s="49"/>
      <c r="E149" s="49" t="s">
        <v>166</v>
      </c>
    </row>
    <row r="150" spans="1:8" x14ac:dyDescent="0.25">
      <c r="B150" s="49"/>
      <c r="C150" s="49"/>
      <c r="D150" s="49"/>
      <c r="E150" s="49"/>
    </row>
    <row r="151" spans="1:8" ht="32.25" customHeight="1" x14ac:dyDescent="0.25">
      <c r="A151" s="81" t="s">
        <v>167</v>
      </c>
      <c r="B151" s="69"/>
      <c r="C151" s="69"/>
      <c r="D151" s="69"/>
      <c r="E151" s="69"/>
      <c r="F151" s="69"/>
      <c r="G151" s="69"/>
    </row>
    <row r="152" spans="1:8" x14ac:dyDescent="0.25">
      <c r="A152" s="82" t="s">
        <v>1</v>
      </c>
      <c r="B152" s="82" t="s">
        <v>168</v>
      </c>
      <c r="C152" s="82"/>
      <c r="D152" s="51"/>
      <c r="E152" s="51"/>
    </row>
    <row r="153" spans="1:8" x14ac:dyDescent="0.25">
      <c r="A153" s="82"/>
      <c r="B153" s="12">
        <v>44196</v>
      </c>
      <c r="C153" s="12">
        <v>44561</v>
      </c>
      <c r="D153" s="51" t="s">
        <v>171</v>
      </c>
      <c r="E153" s="51" t="s">
        <v>172</v>
      </c>
    </row>
    <row r="154" spans="1:8" ht="38.25" x14ac:dyDescent="0.25">
      <c r="A154" s="83" t="s">
        <v>169</v>
      </c>
      <c r="B154" s="84">
        <v>1000</v>
      </c>
      <c r="C154" s="84">
        <v>1100</v>
      </c>
      <c r="D154" s="1">
        <f>C154-B154</f>
        <v>100</v>
      </c>
      <c r="E154" s="17">
        <f>D154/B154</f>
        <v>0.1</v>
      </c>
    </row>
    <row r="155" spans="1:8" ht="25.5" x14ac:dyDescent="0.25">
      <c r="A155" s="83" t="s">
        <v>107</v>
      </c>
      <c r="B155" s="84">
        <v>890</v>
      </c>
      <c r="C155" s="84">
        <v>920</v>
      </c>
      <c r="D155" s="1">
        <f t="shared" ref="D155:D158" si="18">C155-B155</f>
        <v>30</v>
      </c>
      <c r="E155" s="17">
        <f t="shared" ref="E155:E157" si="19">D155/B155</f>
        <v>3.3707865168539325E-2</v>
      </c>
    </row>
    <row r="156" spans="1:8" ht="25.5" x14ac:dyDescent="0.25">
      <c r="A156" s="83" t="s">
        <v>170</v>
      </c>
      <c r="B156" s="84">
        <v>1750</v>
      </c>
      <c r="C156" s="84">
        <v>1780</v>
      </c>
      <c r="D156" s="1">
        <f t="shared" si="18"/>
        <v>30</v>
      </c>
      <c r="E156" s="17">
        <f t="shared" si="19"/>
        <v>1.7142857142857144E-2</v>
      </c>
    </row>
    <row r="157" spans="1:8" x14ac:dyDescent="0.25">
      <c r="A157" s="1" t="s">
        <v>173</v>
      </c>
      <c r="B157" s="1">
        <f>B154-B155</f>
        <v>110</v>
      </c>
      <c r="C157" s="1">
        <f>C154-C155</f>
        <v>180</v>
      </c>
      <c r="D157" s="1">
        <f t="shared" si="18"/>
        <v>70</v>
      </c>
      <c r="E157" s="17">
        <f t="shared" si="19"/>
        <v>0.63636363636363635</v>
      </c>
    </row>
    <row r="158" spans="1:8" x14ac:dyDescent="0.25">
      <c r="A158" s="1" t="s">
        <v>174</v>
      </c>
      <c r="B158" s="26">
        <f>B157/B156</f>
        <v>6.2857142857142861E-2</v>
      </c>
      <c r="C158" s="26">
        <f>C157/C156</f>
        <v>0.10112359550561797</v>
      </c>
      <c r="D158" s="27">
        <f t="shared" si="18"/>
        <v>3.8266452648475113E-2</v>
      </c>
      <c r="E158" s="17"/>
    </row>
    <row r="160" spans="1:8" ht="33.75" customHeight="1" x14ac:dyDescent="0.25">
      <c r="A160" s="85" t="s">
        <v>175</v>
      </c>
      <c r="B160" s="85"/>
      <c r="C160" s="85"/>
      <c r="D160" s="85"/>
      <c r="E160" s="85"/>
      <c r="F160" s="85"/>
      <c r="G160" s="85"/>
      <c r="H160" s="85"/>
    </row>
    <row r="161" spans="1:6" x14ac:dyDescent="0.25">
      <c r="A161" s="22" t="s">
        <v>176</v>
      </c>
      <c r="B161" s="12">
        <v>44196</v>
      </c>
      <c r="C161" s="12">
        <v>44561</v>
      </c>
      <c r="D161" s="51" t="s">
        <v>171</v>
      </c>
      <c r="E161" s="51" t="s">
        <v>172</v>
      </c>
    </row>
    <row r="162" spans="1:6" x14ac:dyDescent="0.25">
      <c r="A162" s="22" t="s">
        <v>177</v>
      </c>
      <c r="B162" s="23">
        <v>2500</v>
      </c>
      <c r="C162" s="23">
        <v>2800</v>
      </c>
      <c r="D162" s="1">
        <f>C162-B162</f>
        <v>300</v>
      </c>
      <c r="E162" s="17">
        <f>D162/B162</f>
        <v>0.12</v>
      </c>
    </row>
    <row r="163" spans="1:6" x14ac:dyDescent="0.25">
      <c r="A163" s="22"/>
      <c r="B163" s="23"/>
      <c r="C163" s="23"/>
      <c r="D163" s="1"/>
      <c r="E163" s="1"/>
    </row>
    <row r="164" spans="1:6" x14ac:dyDescent="0.25">
      <c r="A164" s="22" t="s">
        <v>178</v>
      </c>
      <c r="B164" s="12">
        <v>44196</v>
      </c>
      <c r="C164" s="12">
        <v>44561</v>
      </c>
      <c r="D164" s="1"/>
      <c r="E164" s="1"/>
    </row>
    <row r="165" spans="1:6" x14ac:dyDescent="0.25">
      <c r="A165" s="22" t="s">
        <v>179</v>
      </c>
      <c r="B165" s="23">
        <v>1600</v>
      </c>
      <c r="C165" s="23">
        <v>1600</v>
      </c>
      <c r="D165" s="1">
        <f>C165-B165</f>
        <v>0</v>
      </c>
      <c r="E165" s="17">
        <f>D165/B165</f>
        <v>0</v>
      </c>
    </row>
    <row r="166" spans="1:6" x14ac:dyDescent="0.25">
      <c r="A166" s="22" t="s">
        <v>180</v>
      </c>
      <c r="B166" s="23">
        <v>2200</v>
      </c>
      <c r="C166" s="23">
        <v>2900</v>
      </c>
      <c r="D166" s="1">
        <f>C166-B166</f>
        <v>700</v>
      </c>
      <c r="E166" s="17">
        <f>D166/B166</f>
        <v>0.31818181818181818</v>
      </c>
    </row>
    <row r="167" spans="1:6" x14ac:dyDescent="0.25">
      <c r="A167" s="89" t="s">
        <v>185</v>
      </c>
      <c r="B167" s="90">
        <f>B165+B166</f>
        <v>3800</v>
      </c>
      <c r="C167" s="90">
        <f>C165+C166</f>
        <v>4500</v>
      </c>
      <c r="D167" s="1">
        <f>C167-B167</f>
        <v>700</v>
      </c>
      <c r="E167" s="17">
        <f>D167/B167</f>
        <v>0.18421052631578946</v>
      </c>
    </row>
    <row r="168" spans="1:6" ht="26.25" x14ac:dyDescent="0.25">
      <c r="A168" s="87" t="s">
        <v>181</v>
      </c>
      <c r="B168" s="1">
        <f>B167-B162</f>
        <v>1300</v>
      </c>
      <c r="C168" s="1">
        <f>C167-C162</f>
        <v>1700</v>
      </c>
      <c r="D168" s="1">
        <f>C168-B168</f>
        <v>400</v>
      </c>
      <c r="E168" s="17">
        <f>D168/B168</f>
        <v>0.30769230769230771</v>
      </c>
    </row>
    <row r="169" spans="1:6" ht="55.5" customHeight="1" x14ac:dyDescent="0.25">
      <c r="A169" s="3" t="s">
        <v>182</v>
      </c>
      <c r="B169" s="1"/>
      <c r="C169" s="1"/>
      <c r="D169" s="1"/>
      <c r="E169" s="1"/>
    </row>
    <row r="170" spans="1:6" ht="39" x14ac:dyDescent="0.25">
      <c r="A170" s="88" t="s">
        <v>184</v>
      </c>
      <c r="B170" s="26">
        <f>B168/B167</f>
        <v>0.34210526315789475</v>
      </c>
      <c r="C170" s="26">
        <f>C168/C167</f>
        <v>0.37777777777777777</v>
      </c>
      <c r="D170" s="26">
        <f>C170-B170</f>
        <v>3.5672514619883022E-2</v>
      </c>
      <c r="E170" s="86" t="s">
        <v>186</v>
      </c>
    </row>
    <row r="171" spans="1:6" ht="64.5" x14ac:dyDescent="0.25">
      <c r="A171" s="88" t="s">
        <v>183</v>
      </c>
      <c r="B171" s="1"/>
      <c r="C171" s="1"/>
      <c r="D171" s="1"/>
      <c r="E171" s="1"/>
    </row>
    <row r="173" spans="1:6" ht="37.5" customHeight="1" x14ac:dyDescent="0.25">
      <c r="A173" s="63" t="s">
        <v>187</v>
      </c>
      <c r="B173" s="63"/>
      <c r="C173" s="63"/>
      <c r="D173" s="63"/>
      <c r="E173" s="63"/>
      <c r="F173" s="63"/>
    </row>
    <row r="174" spans="1:6" ht="38.25" x14ac:dyDescent="0.25">
      <c r="A174" s="15" t="s">
        <v>1</v>
      </c>
      <c r="B174" s="22" t="s">
        <v>188</v>
      </c>
      <c r="C174" s="22" t="s">
        <v>189</v>
      </c>
      <c r="D174" s="51" t="s">
        <v>171</v>
      </c>
      <c r="E174" s="51" t="s">
        <v>172</v>
      </c>
    </row>
    <row r="175" spans="1:6" ht="25.5" x14ac:dyDescent="0.25">
      <c r="A175" s="22" t="s">
        <v>190</v>
      </c>
      <c r="B175" s="90">
        <v>1380</v>
      </c>
      <c r="C175" s="90">
        <v>1260</v>
      </c>
      <c r="D175" s="1">
        <f>C175-B175</f>
        <v>-120</v>
      </c>
      <c r="E175" s="98">
        <f>D175/B175</f>
        <v>-8.6956521739130432E-2</v>
      </c>
    </row>
    <row r="176" spans="1:6" x14ac:dyDescent="0.25">
      <c r="A176" s="22" t="s">
        <v>191</v>
      </c>
      <c r="B176" s="23">
        <v>1240</v>
      </c>
      <c r="C176" s="23">
        <v>1150</v>
      </c>
      <c r="D176" s="1">
        <f t="shared" ref="D176:D182" si="20">C176-B176</f>
        <v>-90</v>
      </c>
      <c r="E176" s="98">
        <f t="shared" ref="E176:E181" si="21">D176/B176</f>
        <v>-7.2580645161290328E-2</v>
      </c>
    </row>
    <row r="177" spans="1:5" ht="25.5" x14ac:dyDescent="0.25">
      <c r="A177" s="22" t="s">
        <v>192</v>
      </c>
      <c r="B177" s="91">
        <v>6500</v>
      </c>
      <c r="C177" s="23">
        <f>B177+D181</f>
        <v>6398</v>
      </c>
      <c r="D177" s="99">
        <f t="shared" si="20"/>
        <v>-102</v>
      </c>
      <c r="E177" s="98">
        <f t="shared" si="21"/>
        <v>-1.5692307692307693E-2</v>
      </c>
    </row>
    <row r="178" spans="1:5" x14ac:dyDescent="0.25">
      <c r="A178" s="94" t="s">
        <v>193</v>
      </c>
      <c r="B178" s="96">
        <f>B179+B180</f>
        <v>248</v>
      </c>
      <c r="C178" s="90">
        <f>C179+C180</f>
        <v>230</v>
      </c>
      <c r="D178" s="1">
        <f t="shared" si="20"/>
        <v>-18</v>
      </c>
      <c r="E178" s="98">
        <f t="shared" si="21"/>
        <v>-7.2580645161290328E-2</v>
      </c>
    </row>
    <row r="179" spans="1:5" x14ac:dyDescent="0.25">
      <c r="A179" s="95" t="s">
        <v>197</v>
      </c>
      <c r="B179" s="92">
        <f>B176*0.2</f>
        <v>248</v>
      </c>
      <c r="C179" s="1">
        <f>C176*0.2</f>
        <v>230</v>
      </c>
      <c r="D179" s="1">
        <f t="shared" si="20"/>
        <v>-18</v>
      </c>
      <c r="E179" s="98">
        <f t="shared" si="21"/>
        <v>-7.2580645161290328E-2</v>
      </c>
    </row>
    <row r="180" spans="1:5" ht="24" x14ac:dyDescent="0.25">
      <c r="A180" s="94" t="s">
        <v>196</v>
      </c>
      <c r="B180" s="92">
        <v>0</v>
      </c>
      <c r="C180" s="1">
        <v>0</v>
      </c>
      <c r="D180" s="1">
        <f t="shared" si="20"/>
        <v>0</v>
      </c>
      <c r="E180" s="98"/>
    </row>
    <row r="181" spans="1:5" x14ac:dyDescent="0.25">
      <c r="A181" s="93" t="s">
        <v>194</v>
      </c>
      <c r="B181" s="97">
        <f>B175-B178</f>
        <v>1132</v>
      </c>
      <c r="C181" s="97">
        <f>C175-C178</f>
        <v>1030</v>
      </c>
      <c r="D181" s="99">
        <f t="shared" si="20"/>
        <v>-102</v>
      </c>
      <c r="E181" s="98">
        <f t="shared" si="21"/>
        <v>-9.0106007067137811E-2</v>
      </c>
    </row>
    <row r="182" spans="1:5" x14ac:dyDescent="0.25">
      <c r="A182" s="1" t="s">
        <v>195</v>
      </c>
      <c r="B182" s="17">
        <f>B181/B177</f>
        <v>0.17415384615384616</v>
      </c>
      <c r="C182" s="17">
        <f>C181/C177</f>
        <v>0.1609878086902157</v>
      </c>
      <c r="D182" s="100">
        <f t="shared" si="20"/>
        <v>-1.3166037463630459E-2</v>
      </c>
      <c r="E182" s="1"/>
    </row>
    <row r="183" spans="1:5" x14ac:dyDescent="0.25">
      <c r="A183" s="1"/>
      <c r="B183" s="1"/>
      <c r="C183" s="1"/>
      <c r="D183" s="1"/>
      <c r="E183" s="1"/>
    </row>
  </sheetData>
  <mergeCells count="20">
    <mergeCell ref="A173:F173"/>
    <mergeCell ref="A141:G141"/>
    <mergeCell ref="A151:G151"/>
    <mergeCell ref="A152:A153"/>
    <mergeCell ref="B152:C152"/>
    <mergeCell ref="A160:H160"/>
    <mergeCell ref="A47:M47"/>
    <mergeCell ref="A48:A49"/>
    <mergeCell ref="B48:C48"/>
    <mergeCell ref="A56:A57"/>
    <mergeCell ref="B56:C56"/>
    <mergeCell ref="A99:J99"/>
    <mergeCell ref="A120:H120"/>
    <mergeCell ref="A121:A122"/>
    <mergeCell ref="B121:C121"/>
    <mergeCell ref="A67:I67"/>
    <mergeCell ref="A68:A69"/>
    <mergeCell ref="B68:C68"/>
    <mergeCell ref="A75:I75"/>
    <mergeCell ref="A88:I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2023-01-12T20:58:16Z</dcterms:modified>
</cp:coreProperties>
</file>