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  <sheet name="Лист1" sheetId="2" r:id="rId2"/>
    <sheet name="Практика" sheetId="3" r:id="rId3"/>
    <sheet name="Практика 2" sheetId="4" r:id="rId4"/>
  </sheets>
  <calcPr calcId="152511"/>
</workbook>
</file>

<file path=xl/calcChain.xml><?xml version="1.0" encoding="utf-8"?>
<calcChain xmlns="http://schemas.openxmlformats.org/spreadsheetml/2006/main">
  <c r="H42" i="1" l="1"/>
  <c r="H41" i="1"/>
  <c r="H37" i="1"/>
  <c r="J36" i="1"/>
  <c r="I36" i="1"/>
  <c r="H36" i="1"/>
  <c r="H35" i="1"/>
  <c r="B186" i="4" l="1"/>
  <c r="E185" i="4"/>
  <c r="C185" i="4"/>
  <c r="D185" i="4"/>
  <c r="B185" i="4"/>
  <c r="D184" i="4"/>
  <c r="C184" i="4"/>
  <c r="B184" i="4"/>
  <c r="B182" i="4"/>
  <c r="B181" i="4"/>
  <c r="C181" i="4" s="1"/>
  <c r="B180" i="4"/>
  <c r="C180" i="4" s="1"/>
  <c r="C177" i="4"/>
  <c r="D177" i="4"/>
  <c r="B177" i="4"/>
  <c r="B171" i="4"/>
  <c r="D170" i="4"/>
  <c r="C170" i="4"/>
  <c r="B170" i="4"/>
  <c r="B169" i="4"/>
  <c r="C157" i="4"/>
  <c r="C158" i="4"/>
  <c r="C159" i="4"/>
  <c r="C156" i="4"/>
  <c r="C160" i="4" s="1"/>
  <c r="B160" i="4"/>
  <c r="D159" i="4"/>
  <c r="D158" i="4"/>
  <c r="D157" i="4"/>
  <c r="D156" i="4"/>
  <c r="B152" i="4"/>
  <c r="B153" i="4" s="1"/>
  <c r="D142" i="4"/>
  <c r="D141" i="4"/>
  <c r="B145" i="4"/>
  <c r="D144" i="4"/>
  <c r="D143" i="4"/>
  <c r="B137" i="4"/>
  <c r="B138" i="4" s="1"/>
  <c r="B129" i="4"/>
  <c r="D128" i="4"/>
  <c r="D127" i="4"/>
  <c r="D126" i="4"/>
  <c r="D125" i="4"/>
  <c r="B121" i="4"/>
  <c r="D180" i="4" l="1"/>
  <c r="E180" i="4" s="1"/>
  <c r="D181" i="4"/>
  <c r="D182" i="4" s="1"/>
  <c r="C182" i="4"/>
  <c r="C183" i="4" s="1"/>
  <c r="B183" i="4"/>
  <c r="C169" i="4"/>
  <c r="B122" i="4"/>
  <c r="B155" i="4"/>
  <c r="B140" i="4"/>
  <c r="B146" i="4" s="1"/>
  <c r="E147" i="4" s="1"/>
  <c r="D183" i="4" l="1"/>
  <c r="E182" i="4"/>
  <c r="B161" i="4"/>
  <c r="E162" i="4" s="1"/>
  <c r="C154" i="4"/>
  <c r="C153" i="4"/>
  <c r="C152" i="4"/>
  <c r="D169" i="4"/>
  <c r="C171" i="4"/>
  <c r="E183" i="4"/>
  <c r="C122" i="4"/>
  <c r="B124" i="4"/>
  <c r="B130" i="4" s="1"/>
  <c r="E171" i="4" l="1"/>
  <c r="E152" i="4"/>
  <c r="C155" i="4"/>
  <c r="D171" i="4"/>
  <c r="E169" i="4"/>
  <c r="E122" i="4"/>
  <c r="E156" i="4"/>
  <c r="E131" i="4"/>
  <c r="C144" i="4"/>
  <c r="E144" i="4" s="1"/>
  <c r="E159" i="4"/>
  <c r="E154" i="4"/>
  <c r="C143" i="4"/>
  <c r="E143" i="4" s="1"/>
  <c r="C123" i="4"/>
  <c r="E123" i="4" s="1"/>
  <c r="E158" i="4"/>
  <c r="C125" i="4"/>
  <c r="E125" i="4" s="1"/>
  <c r="E157" i="4"/>
  <c r="C139" i="4"/>
  <c r="E139" i="4" s="1"/>
  <c r="C127" i="4"/>
  <c r="E127" i="4" s="1"/>
  <c r="C128" i="4"/>
  <c r="E128" i="4" s="1"/>
  <c r="C142" i="4"/>
  <c r="E142" i="4" s="1"/>
  <c r="C141" i="4"/>
  <c r="E141" i="4" s="1"/>
  <c r="C126" i="4"/>
  <c r="E126" i="4" s="1"/>
  <c r="E153" i="4"/>
  <c r="C121" i="4"/>
  <c r="E121" i="4" s="1"/>
  <c r="C138" i="4"/>
  <c r="E138" i="4" s="1"/>
  <c r="C137" i="4"/>
  <c r="E160" i="4" l="1"/>
  <c r="B172" i="4"/>
  <c r="E155" i="4"/>
  <c r="C130" i="4"/>
  <c r="C146" i="4"/>
  <c r="E137" i="4"/>
  <c r="E146" i="4" s="1"/>
  <c r="C161" i="4"/>
  <c r="E130" i="4"/>
  <c r="H112" i="4" l="1"/>
  <c r="G114" i="4"/>
  <c r="G113" i="4" s="1"/>
  <c r="H113" i="4"/>
  <c r="H114" i="4"/>
  <c r="I114" i="4" s="1"/>
  <c r="D101" i="4"/>
  <c r="D100" i="4"/>
  <c r="C101" i="4"/>
  <c r="C102" i="4"/>
  <c r="D102" i="4" s="1"/>
  <c r="C103" i="4"/>
  <c r="D103" i="4" s="1"/>
  <c r="C100" i="4"/>
  <c r="C98" i="4"/>
  <c r="D98" i="4" s="1"/>
  <c r="C97" i="4"/>
  <c r="D97" i="4" s="1"/>
  <c r="C99" i="4"/>
  <c r="D99" i="4" s="1"/>
  <c r="B105" i="4"/>
  <c r="B104" i="4"/>
  <c r="B106" i="4" s="1"/>
  <c r="B90" i="4"/>
  <c r="B88" i="4" s="1"/>
  <c r="B81" i="4"/>
  <c r="B86" i="4"/>
  <c r="B80" i="4"/>
  <c r="B82" i="4" s="1"/>
  <c r="B85" i="4" s="1"/>
  <c r="B87" i="4" s="1"/>
  <c r="F82" i="4"/>
  <c r="E78" i="4"/>
  <c r="F77" i="4"/>
  <c r="F78" i="4" s="1"/>
  <c r="E79" i="4" s="1"/>
  <c r="F72" i="4"/>
  <c r="E69" i="4"/>
  <c r="E74" i="4" s="1"/>
  <c r="F73" i="4"/>
  <c r="F81" i="4"/>
  <c r="E81" i="4"/>
  <c r="E82" i="4" s="1"/>
  <c r="E83" i="4" s="1"/>
  <c r="F71" i="4"/>
  <c r="F70" i="4"/>
  <c r="D60" i="4"/>
  <c r="C62" i="4"/>
  <c r="B62" i="4"/>
  <c r="B61" i="4"/>
  <c r="D58" i="4"/>
  <c r="E58" i="4"/>
  <c r="C58" i="4"/>
  <c r="C61" i="4" s="1"/>
  <c r="C57" i="4"/>
  <c r="D57" i="4" s="1"/>
  <c r="E57" i="4" s="1"/>
  <c r="C50" i="4"/>
  <c r="B50" i="4"/>
  <c r="D48" i="4"/>
  <c r="D51" i="4" s="1"/>
  <c r="D47" i="4"/>
  <c r="C38" i="4"/>
  <c r="C39" i="4"/>
  <c r="C40" i="4"/>
  <c r="B40" i="4"/>
  <c r="B39" i="4"/>
  <c r="B38" i="4"/>
  <c r="C32" i="4"/>
  <c r="C33" i="4" s="1"/>
  <c r="C34" i="4" s="1"/>
  <c r="B32" i="4"/>
  <c r="B33" i="4" s="1"/>
  <c r="B36" i="4" s="1"/>
  <c r="G8" i="4"/>
  <c r="G9" i="4" s="1"/>
  <c r="C8" i="4"/>
  <c r="C7" i="4" s="1"/>
  <c r="B7" i="4"/>
  <c r="B10" i="4" s="1"/>
  <c r="C3" i="4"/>
  <c r="B3" i="4"/>
  <c r="B17" i="4" s="1"/>
  <c r="D5" i="4"/>
  <c r="D4" i="4"/>
  <c r="C6" i="4"/>
  <c r="C104" i="4" l="1"/>
  <c r="C37" i="4"/>
  <c r="E75" i="4"/>
  <c r="F74" i="4"/>
  <c r="C105" i="4"/>
  <c r="E84" i="4"/>
  <c r="D104" i="4"/>
  <c r="B92" i="4"/>
  <c r="D105" i="4"/>
  <c r="D106" i="4" s="1"/>
  <c r="I113" i="4"/>
  <c r="G112" i="4"/>
  <c r="I112" i="4" s="1"/>
  <c r="I115" i="4" s="1"/>
  <c r="I116" i="4" s="1"/>
  <c r="D50" i="4"/>
  <c r="D3" i="4"/>
  <c r="B37" i="4"/>
  <c r="B59" i="4"/>
  <c r="B63" i="4" s="1"/>
  <c r="D62" i="4"/>
  <c r="C59" i="4"/>
  <c r="D61" i="4"/>
  <c r="E61" i="4" s="1"/>
  <c r="D9" i="4"/>
  <c r="C17" i="4"/>
  <c r="C16" i="4" s="1"/>
  <c r="D6" i="4"/>
  <c r="B34" i="4"/>
  <c r="B35" i="4"/>
  <c r="D8" i="4"/>
  <c r="C36" i="4"/>
  <c r="D49" i="4"/>
  <c r="D52" i="4" s="1"/>
  <c r="D53" i="4" s="1"/>
  <c r="B11" i="4"/>
  <c r="B12" i="4" s="1"/>
  <c r="B13" i="4" s="1"/>
  <c r="B14" i="4" s="1"/>
  <c r="C35" i="4"/>
  <c r="D17" i="4"/>
  <c r="D16" i="4" s="1"/>
  <c r="C10" i="4"/>
  <c r="C106" i="4" l="1"/>
  <c r="B19" i="4"/>
  <c r="D7" i="4"/>
  <c r="D10" i="4" s="1"/>
  <c r="C63" i="4"/>
  <c r="D63" i="4" s="1"/>
  <c r="E63" i="4" s="1"/>
  <c r="D59" i="4"/>
  <c r="E59" i="4" s="1"/>
  <c r="C11" i="4"/>
  <c r="C12" i="4" s="1"/>
  <c r="C13" i="4" s="1"/>
  <c r="C14" i="4" s="1"/>
  <c r="C15" i="4" s="1"/>
  <c r="D11" i="4" l="1"/>
  <c r="D12" i="4" s="1"/>
  <c r="D13" i="4" s="1"/>
  <c r="D14" i="4" s="1"/>
  <c r="D15" i="4" s="1"/>
  <c r="B282" i="3" l="1"/>
  <c r="B264" i="3"/>
  <c r="C256" i="3"/>
  <c r="D256" i="3"/>
  <c r="B256" i="3"/>
  <c r="E254" i="3"/>
  <c r="D254" i="3"/>
  <c r="C254" i="3"/>
  <c r="B254" i="3"/>
  <c r="B249" i="3"/>
  <c r="D259" i="3"/>
  <c r="C259" i="3"/>
  <c r="D253" i="3"/>
  <c r="E252" i="3"/>
  <c r="E251" i="3"/>
  <c r="D251" i="3"/>
  <c r="C251" i="3"/>
  <c r="B251" i="3"/>
  <c r="E249" i="3"/>
  <c r="D249" i="3"/>
  <c r="C249" i="3"/>
  <c r="B259" i="3"/>
  <c r="E242" i="3"/>
  <c r="E243" i="3"/>
  <c r="C242" i="3"/>
  <c r="D242" i="3"/>
  <c r="C243" i="3"/>
  <c r="D243" i="3"/>
  <c r="B243" i="3"/>
  <c r="B242" i="3"/>
  <c r="C239" i="3"/>
  <c r="D239" i="3"/>
  <c r="E239" i="3"/>
  <c r="C240" i="3"/>
  <c r="D240" i="3"/>
  <c r="E240" i="3"/>
  <c r="B240" i="3"/>
  <c r="B239" i="3"/>
  <c r="C234" i="3"/>
  <c r="D234" i="3"/>
  <c r="E234" i="3"/>
  <c r="C235" i="3"/>
  <c r="D235" i="3"/>
  <c r="E235" i="3"/>
  <c r="B235" i="3"/>
  <c r="B234" i="3"/>
  <c r="C233" i="3"/>
  <c r="D233" i="3"/>
  <c r="E233" i="3"/>
  <c r="B233" i="3"/>
  <c r="C232" i="3"/>
  <c r="D232" i="3"/>
  <c r="E232" i="3"/>
  <c r="B232" i="3"/>
  <c r="C231" i="3"/>
  <c r="D231" i="3"/>
  <c r="E231" i="3"/>
  <c r="B231" i="3"/>
  <c r="D229" i="3"/>
  <c r="C229" i="3"/>
  <c r="C230" i="3" s="1"/>
  <c r="D230" i="3"/>
  <c r="B230" i="3"/>
  <c r="B229" i="3"/>
  <c r="C228" i="3"/>
  <c r="D228" i="3"/>
  <c r="B228" i="3"/>
  <c r="C225" i="3"/>
  <c r="D225" i="3"/>
  <c r="E225" i="3"/>
  <c r="C226" i="3"/>
  <c r="D226" i="3"/>
  <c r="E226" i="3"/>
  <c r="E227" i="3" s="1"/>
  <c r="C227" i="3"/>
  <c r="D227" i="3"/>
  <c r="B227" i="3"/>
  <c r="B226" i="3"/>
  <c r="B225" i="3"/>
  <c r="F218" i="3"/>
  <c r="E218" i="3"/>
  <c r="C218" i="3"/>
  <c r="D218" i="3"/>
  <c r="B218" i="3"/>
  <c r="D223" i="3"/>
  <c r="D222" i="3"/>
  <c r="C223" i="3"/>
  <c r="B223" i="3"/>
  <c r="D221" i="3"/>
  <c r="C221" i="3"/>
  <c r="B221" i="3"/>
  <c r="C222" i="3"/>
  <c r="B222" i="3"/>
  <c r="D224" i="3"/>
  <c r="C224" i="3"/>
  <c r="B224" i="3"/>
  <c r="D220" i="3"/>
  <c r="C220" i="3"/>
  <c r="B220" i="3"/>
  <c r="F219" i="3"/>
  <c r="D219" i="3"/>
  <c r="C219" i="3"/>
  <c r="B219" i="3"/>
  <c r="C217" i="3"/>
  <c r="E217" i="3" s="1"/>
  <c r="D217" i="3"/>
  <c r="B217" i="3"/>
  <c r="C215" i="3"/>
  <c r="E215" i="3" s="1"/>
  <c r="D215" i="3"/>
  <c r="B215" i="3"/>
  <c r="B258" i="3" l="1"/>
  <c r="B253" i="3"/>
  <c r="C258" i="3"/>
  <c r="C253" i="3"/>
  <c r="E265" i="3"/>
  <c r="E266" i="3" s="1"/>
  <c r="E267" i="3" s="1"/>
  <c r="C255" i="3"/>
  <c r="C257" i="3"/>
  <c r="D255" i="3"/>
  <c r="D257" i="3"/>
  <c r="E259" i="3"/>
  <c r="D258" i="3"/>
  <c r="E222" i="3"/>
  <c r="E220" i="3"/>
  <c r="D252" i="3" l="1"/>
  <c r="D265" i="3" s="1"/>
  <c r="D266" i="3" s="1"/>
  <c r="D267" i="3" s="1"/>
  <c r="C252" i="3"/>
  <c r="B255" i="3"/>
  <c r="B257" i="3"/>
  <c r="B252" i="3" s="1"/>
  <c r="E256" i="3"/>
  <c r="E260" i="3"/>
  <c r="F253" i="3"/>
  <c r="D262" i="3" l="1"/>
  <c r="D263" i="3" s="1"/>
  <c r="D264" i="3" s="1"/>
  <c r="D260" i="3"/>
  <c r="D269" i="3" s="1"/>
  <c r="B265" i="3"/>
  <c r="B266" i="3" s="1"/>
  <c r="B267" i="3" s="1"/>
  <c r="B262" i="3"/>
  <c r="B263" i="3" s="1"/>
  <c r="F252" i="3"/>
  <c r="B260" i="3"/>
  <c r="E261" i="3"/>
  <c r="E269" i="3"/>
  <c r="C265" i="3"/>
  <c r="C266" i="3" s="1"/>
  <c r="C267" i="3" s="1"/>
  <c r="C262" i="3"/>
  <c r="C263" i="3" s="1"/>
  <c r="C264" i="3" s="1"/>
  <c r="C260" i="3"/>
  <c r="E268" i="3"/>
  <c r="D268" i="3" l="1"/>
  <c r="D273" i="3" s="1"/>
  <c r="D261" i="3"/>
  <c r="C269" i="3"/>
  <c r="C261" i="3"/>
  <c r="C268" i="3"/>
  <c r="E277" i="3"/>
  <c r="E276" i="3"/>
  <c r="E274" i="3"/>
  <c r="E273" i="3"/>
  <c r="D274" i="3"/>
  <c r="B261" i="3"/>
  <c r="B269" i="3"/>
  <c r="B268" i="3"/>
  <c r="D277" i="3"/>
  <c r="D276" i="3"/>
  <c r="C277" i="3" l="1"/>
  <c r="C276" i="3"/>
  <c r="B274" i="3"/>
  <c r="B273" i="3"/>
  <c r="B277" i="3"/>
  <c r="B276" i="3"/>
  <c r="C274" i="3"/>
  <c r="C273" i="3"/>
  <c r="D209" i="3" l="1"/>
  <c r="D204" i="3"/>
  <c r="E204" i="3" s="1"/>
  <c r="D205" i="3"/>
  <c r="E205" i="3" s="1"/>
  <c r="D206" i="3"/>
  <c r="E206" i="3"/>
  <c r="E203" i="3"/>
  <c r="D203" i="3"/>
  <c r="C207" i="3"/>
  <c r="C208" i="3" s="1"/>
  <c r="B207" i="3"/>
  <c r="B208" i="3" s="1"/>
  <c r="C194" i="3"/>
  <c r="C196" i="3" s="1"/>
  <c r="D199" i="3" s="1"/>
  <c r="C193" i="3"/>
  <c r="C195" i="3" s="1"/>
  <c r="D198" i="3" s="1"/>
  <c r="D208" i="3" l="1"/>
  <c r="D207" i="3"/>
  <c r="E207" i="3" s="1"/>
  <c r="J53" i="1"/>
  <c r="I53" i="1"/>
  <c r="H53" i="1"/>
  <c r="D183" i="3"/>
  <c r="C178" i="3"/>
  <c r="D178" i="3" s="1"/>
  <c r="E178" i="3" s="1"/>
  <c r="C177" i="3"/>
  <c r="D184" i="3" s="1"/>
  <c r="C169" i="3"/>
  <c r="D169" i="3" s="1"/>
  <c r="E169" i="3" s="1"/>
  <c r="C168" i="3"/>
  <c r="D168" i="3" s="1"/>
  <c r="E168" i="3" s="1"/>
  <c r="C166" i="3"/>
  <c r="C167" i="3" s="1"/>
  <c r="B167" i="3"/>
  <c r="B170" i="3" s="1"/>
  <c r="B171" i="3" s="1"/>
  <c r="B172" i="3" s="1"/>
  <c r="D156" i="3"/>
  <c r="E156" i="3"/>
  <c r="D159" i="3"/>
  <c r="E159" i="3" s="1"/>
  <c r="D160" i="3"/>
  <c r="D155" i="3"/>
  <c r="E155" i="3" s="1"/>
  <c r="C159" i="3"/>
  <c r="C158" i="3" s="1"/>
  <c r="C161" i="3" s="1"/>
  <c r="B159" i="3"/>
  <c r="B158" i="3" s="1"/>
  <c r="C151" i="3"/>
  <c r="C148" i="3"/>
  <c r="B147" i="3"/>
  <c r="D147" i="3" s="1"/>
  <c r="B149" i="3"/>
  <c r="D149" i="3" s="1"/>
  <c r="B148" i="3"/>
  <c r="D148" i="3" s="1"/>
  <c r="D133" i="3"/>
  <c r="E133" i="3" s="1"/>
  <c r="B131" i="3"/>
  <c r="B132" i="3" s="1"/>
  <c r="J52" i="1"/>
  <c r="I52" i="1"/>
  <c r="H52" i="1"/>
  <c r="J51" i="1"/>
  <c r="I51" i="1"/>
  <c r="H51" i="1"/>
  <c r="J50" i="1"/>
  <c r="I50" i="1"/>
  <c r="H50" i="1"/>
  <c r="J49" i="1"/>
  <c r="I49" i="1"/>
  <c r="H49" i="1"/>
  <c r="J48" i="1"/>
  <c r="I48" i="1"/>
  <c r="H48" i="1"/>
  <c r="J46" i="1"/>
  <c r="I46" i="1"/>
  <c r="H46" i="1"/>
  <c r="J45" i="1"/>
  <c r="I45" i="1"/>
  <c r="H45" i="1"/>
  <c r="C179" i="3" l="1"/>
  <c r="C180" i="3" s="1"/>
  <c r="D158" i="3"/>
  <c r="E158" i="3" s="1"/>
  <c r="B161" i="3"/>
  <c r="B162" i="3" s="1"/>
  <c r="C170" i="3"/>
  <c r="D167" i="3"/>
  <c r="E167" i="3" s="1"/>
  <c r="D166" i="3"/>
  <c r="E166" i="3" s="1"/>
  <c r="E132" i="3"/>
  <c r="C132" i="3"/>
  <c r="C131" i="3"/>
  <c r="E131" i="3"/>
  <c r="B150" i="3"/>
  <c r="C171" i="3" l="1"/>
  <c r="D170" i="3"/>
  <c r="E170" i="3" s="1"/>
  <c r="D161" i="3"/>
  <c r="C135" i="3"/>
  <c r="D135" i="3" s="1"/>
  <c r="C134" i="3"/>
  <c r="D134" i="3" s="1"/>
  <c r="B151" i="3"/>
  <c r="D151" i="3" s="1"/>
  <c r="D150" i="3"/>
  <c r="J42" i="1"/>
  <c r="J41" i="1"/>
  <c r="I42" i="1"/>
  <c r="I41" i="1"/>
  <c r="J37" i="1"/>
  <c r="I37" i="1"/>
  <c r="J35" i="1"/>
  <c r="I35" i="1"/>
  <c r="J32" i="1"/>
  <c r="J33" i="1"/>
  <c r="I33" i="1"/>
  <c r="H33" i="1"/>
  <c r="I32" i="1"/>
  <c r="H32" i="1"/>
  <c r="J30" i="1"/>
  <c r="J31" i="1"/>
  <c r="I31" i="1"/>
  <c r="H31" i="1"/>
  <c r="H30" i="1"/>
  <c r="I30" i="1"/>
  <c r="H29" i="1"/>
  <c r="J28" i="1"/>
  <c r="J29" i="1"/>
  <c r="I29" i="1"/>
  <c r="I28" i="1"/>
  <c r="H28" i="1"/>
  <c r="J27" i="1"/>
  <c r="I27" i="1"/>
  <c r="H27" i="1"/>
  <c r="J25" i="1"/>
  <c r="J26" i="1"/>
  <c r="I26" i="1"/>
  <c r="H26" i="1"/>
  <c r="H25" i="1"/>
  <c r="I25" i="1"/>
  <c r="J23" i="1"/>
  <c r="J24" i="1"/>
  <c r="J22" i="1"/>
  <c r="I24" i="1"/>
  <c r="H24" i="1"/>
  <c r="I23" i="1"/>
  <c r="H23" i="1"/>
  <c r="I22" i="1"/>
  <c r="H22" i="1"/>
  <c r="C125" i="3"/>
  <c r="B125" i="3"/>
  <c r="C123" i="3"/>
  <c r="B123" i="3"/>
  <c r="C122" i="3"/>
  <c r="B122" i="3"/>
  <c r="D113" i="3"/>
  <c r="E113" i="3" s="1"/>
  <c r="D114" i="3"/>
  <c r="E114" i="3"/>
  <c r="D115" i="3"/>
  <c r="E115" i="3" s="1"/>
  <c r="D116" i="3"/>
  <c r="E116" i="3" s="1"/>
  <c r="D117" i="3"/>
  <c r="E117" i="3" s="1"/>
  <c r="D118" i="3"/>
  <c r="E118" i="3" s="1"/>
  <c r="D119" i="3"/>
  <c r="E119" i="3" s="1"/>
  <c r="D112" i="3"/>
  <c r="E112" i="3" s="1"/>
  <c r="C120" i="3"/>
  <c r="C121" i="3" s="1"/>
  <c r="B120" i="3"/>
  <c r="B121" i="3" s="1"/>
  <c r="B124" i="3" s="1"/>
  <c r="D101" i="3"/>
  <c r="E101" i="3" s="1"/>
  <c r="D102" i="3"/>
  <c r="E102" i="3" s="1"/>
  <c r="D103" i="3"/>
  <c r="E103" i="3" s="1"/>
  <c r="C106" i="3"/>
  <c r="C107" i="3" s="1"/>
  <c r="B106" i="3"/>
  <c r="B107" i="3" s="1"/>
  <c r="D100" i="3"/>
  <c r="E100" i="3" s="1"/>
  <c r="C104" i="3"/>
  <c r="C105" i="3"/>
  <c r="D105" i="3" s="1"/>
  <c r="E105" i="3" s="1"/>
  <c r="B105" i="3"/>
  <c r="B104" i="3"/>
  <c r="B89" i="3"/>
  <c r="B88" i="3"/>
  <c r="J10" i="1"/>
  <c r="I10" i="1"/>
  <c r="H10" i="1"/>
  <c r="H18" i="1"/>
  <c r="J9" i="1"/>
  <c r="I9" i="1"/>
  <c r="H9" i="1"/>
  <c r="J8" i="1"/>
  <c r="I8" i="1"/>
  <c r="H8" i="1"/>
  <c r="J16" i="1"/>
  <c r="J17" i="1"/>
  <c r="J18" i="1"/>
  <c r="J19" i="1"/>
  <c r="I16" i="1"/>
  <c r="I17" i="1"/>
  <c r="I18" i="1"/>
  <c r="I19" i="1"/>
  <c r="H19" i="1"/>
  <c r="H17" i="1"/>
  <c r="H16" i="1"/>
  <c r="J13" i="1"/>
  <c r="J14" i="1"/>
  <c r="J15" i="1"/>
  <c r="J12" i="1"/>
  <c r="I12" i="1"/>
  <c r="I13" i="1"/>
  <c r="I14" i="1"/>
  <c r="I15" i="1"/>
  <c r="H15" i="1"/>
  <c r="H14" i="1"/>
  <c r="H13" i="1"/>
  <c r="H12" i="1"/>
  <c r="D125" i="3" l="1"/>
  <c r="E161" i="3"/>
  <c r="C157" i="3"/>
  <c r="D104" i="3"/>
  <c r="E104" i="3" s="1"/>
  <c r="C172" i="3"/>
  <c r="D172" i="3" s="1"/>
  <c r="D171" i="3"/>
  <c r="E171" i="3" s="1"/>
  <c r="D123" i="3"/>
  <c r="B92" i="3"/>
  <c r="D122" i="3"/>
  <c r="D121" i="3"/>
  <c r="E121" i="3" s="1"/>
  <c r="C124" i="3"/>
  <c r="D124" i="3" s="1"/>
  <c r="C126" i="3"/>
  <c r="D120" i="3"/>
  <c r="E120" i="3" s="1"/>
  <c r="B90" i="3"/>
  <c r="B93" i="3" s="1"/>
  <c r="B126" i="3"/>
  <c r="D106" i="3"/>
  <c r="E106" i="3" s="1"/>
  <c r="D107" i="3"/>
  <c r="D69" i="3"/>
  <c r="E69" i="3" s="1"/>
  <c r="C74" i="3"/>
  <c r="C75" i="3"/>
  <c r="B75" i="3"/>
  <c r="B74" i="3"/>
  <c r="C71" i="3"/>
  <c r="C72" i="3"/>
  <c r="B72" i="3"/>
  <c r="B71" i="3"/>
  <c r="D52" i="3"/>
  <c r="D55" i="3" s="1"/>
  <c r="C53" i="3"/>
  <c r="B53" i="3"/>
  <c r="D51" i="3"/>
  <c r="D54" i="3" s="1"/>
  <c r="C44" i="3"/>
  <c r="B44" i="3"/>
  <c r="D43" i="3"/>
  <c r="D46" i="3" s="1"/>
  <c r="D42" i="3"/>
  <c r="E42" i="3" s="1"/>
  <c r="C35" i="3"/>
  <c r="B35" i="3"/>
  <c r="D34" i="3"/>
  <c r="E34" i="3" s="1"/>
  <c r="D33" i="3"/>
  <c r="E33" i="3" s="1"/>
  <c r="C25" i="3"/>
  <c r="B25" i="3"/>
  <c r="D24" i="3"/>
  <c r="D27" i="3" s="1"/>
  <c r="D23" i="3"/>
  <c r="D26" i="3" s="1"/>
  <c r="C16" i="3"/>
  <c r="B16" i="3"/>
  <c r="D15" i="3"/>
  <c r="D18" i="3" s="1"/>
  <c r="D14" i="3"/>
  <c r="E14" i="3" s="1"/>
  <c r="C3" i="3"/>
  <c r="E3" i="3" s="1"/>
  <c r="G3" i="3" s="1"/>
  <c r="B9" i="3"/>
  <c r="B4" i="3"/>
  <c r="C4" i="3" s="1"/>
  <c r="E4" i="3" s="1"/>
  <c r="G4" i="3" s="1"/>
  <c r="B70" i="3" l="1"/>
  <c r="D157" i="3"/>
  <c r="E157" i="3" s="1"/>
  <c r="C162" i="3"/>
  <c r="D162" i="3" s="1"/>
  <c r="D72" i="3"/>
  <c r="E72" i="3" s="1"/>
  <c r="D25" i="3"/>
  <c r="E25" i="3" s="1"/>
  <c r="D75" i="3"/>
  <c r="E75" i="3" s="1"/>
  <c r="D74" i="3"/>
  <c r="E74" i="3" s="1"/>
  <c r="D126" i="3"/>
  <c r="B91" i="3"/>
  <c r="B94" i="3" s="1"/>
  <c r="D45" i="3"/>
  <c r="D47" i="3" s="1"/>
  <c r="D17" i="3"/>
  <c r="D19" i="3" s="1"/>
  <c r="E23" i="3"/>
  <c r="E15" i="3"/>
  <c r="D16" i="3"/>
  <c r="E16" i="3" s="1"/>
  <c r="D71" i="3"/>
  <c r="E71" i="3" s="1"/>
  <c r="D28" i="3"/>
  <c r="D36" i="3"/>
  <c r="C70" i="3"/>
  <c r="D53" i="3"/>
  <c r="E53" i="3" s="1"/>
  <c r="B5" i="3"/>
  <c r="C5" i="3" s="1"/>
  <c r="E5" i="3" s="1"/>
  <c r="G5" i="3" s="1"/>
  <c r="B73" i="3"/>
  <c r="C73" i="3"/>
  <c r="D56" i="3"/>
  <c r="E52" i="3"/>
  <c r="E51" i="3"/>
  <c r="D44" i="3"/>
  <c r="E44" i="3" s="1"/>
  <c r="D35" i="3"/>
  <c r="E35" i="3" s="1"/>
  <c r="D37" i="3"/>
  <c r="E43" i="3"/>
  <c r="E24" i="3"/>
  <c r="B76" i="3" l="1"/>
  <c r="F71" i="3"/>
  <c r="F75" i="3"/>
  <c r="F76" i="3"/>
  <c r="F69" i="3"/>
  <c r="F70" i="3"/>
  <c r="F74" i="3"/>
  <c r="F72" i="3"/>
  <c r="C76" i="3"/>
  <c r="D70" i="3"/>
  <c r="E70" i="3" s="1"/>
  <c r="D73" i="3"/>
  <c r="E73" i="3" s="1"/>
  <c r="F73" i="3"/>
  <c r="D38" i="3"/>
  <c r="G76" i="3" l="1"/>
  <c r="G71" i="3"/>
  <c r="H71" i="3" s="1"/>
  <c r="G75" i="3"/>
  <c r="H75" i="3" s="1"/>
  <c r="G69" i="3"/>
  <c r="H69" i="3" s="1"/>
  <c r="D76" i="3"/>
  <c r="E76" i="3" s="1"/>
  <c r="G72" i="3"/>
  <c r="H72" i="3" s="1"/>
  <c r="G74" i="3"/>
  <c r="H74" i="3" s="1"/>
  <c r="G73" i="3"/>
  <c r="H73" i="3" s="1"/>
  <c r="G70" i="3"/>
  <c r="H70" i="3" s="1"/>
</calcChain>
</file>

<file path=xl/sharedStrings.xml><?xml version="1.0" encoding="utf-8"?>
<sst xmlns="http://schemas.openxmlformats.org/spreadsheetml/2006/main" count="841" uniqueCount="618">
  <si>
    <t>ухгалтерский баланс</t>
  </si>
  <si>
    <t>Наименование показателя</t>
  </si>
  <si>
    <t>Код</t>
  </si>
  <si>
    <t>АКТИВ</t>
  </si>
  <si>
    <t>I. ВНЕОБОРОТНЫЕ АКТИВЫ</t>
  </si>
  <si>
    <t>Нематериальные активы</t>
  </si>
  <si>
    <t>Основные средства</t>
  </si>
  <si>
    <t>Доходные вложения в материальные ценности</t>
  </si>
  <si>
    <t>-</t>
  </si>
  <si>
    <t>Финансовые вложения</t>
  </si>
  <si>
    <t>Отложенные налоговые активы</t>
  </si>
  <si>
    <t>Прочие внеоборотные активы</t>
  </si>
  <si>
    <t>Итого по разделу I</t>
  </si>
  <si>
    <t>II. ОБОРОТНЫЕ АКТИВЫ</t>
  </si>
  <si>
    <t>Запасы</t>
  </si>
  <si>
    <t>Налог на добавленную стоимость по приобретенным ценностям</t>
  </si>
  <si>
    <t>Дебиторская задолженность</t>
  </si>
  <si>
    <t>Финансовые вложения (за исключением денежных эквивалентов)</t>
  </si>
  <si>
    <t>Денежные средства и денежные эквиваленты</t>
  </si>
  <si>
    <t>Прочие оборотные активы</t>
  </si>
  <si>
    <t>Итого по разделу II</t>
  </si>
  <si>
    <t>БАЛАНС</t>
  </si>
  <si>
    <t>ПАССИВ</t>
  </si>
  <si>
    <t>III. КАПИТАЛ И РЕЗЕРВЫ</t>
  </si>
  <si>
    <t>Уставный капитал (складочный капитал, уставный фонд, вклады товарищей)</t>
  </si>
  <si>
    <t>Собственные акции, выкупленные у акционеров</t>
  </si>
  <si>
    <t>Добавочный капитал (без переоценки)</t>
  </si>
  <si>
    <t>Резервный капитал</t>
  </si>
  <si>
    <t>Нераспределенная прибыль (непокрытый убыток)</t>
  </si>
  <si>
    <t>Итого по разделу III</t>
  </si>
  <si>
    <t>IV. ДОЛГОСРОЧНЫЕ ОБЯЗАТЕЛЬСТВА</t>
  </si>
  <si>
    <t>Заемные средства</t>
  </si>
  <si>
    <t>Отложенные налоговые обязательства</t>
  </si>
  <si>
    <t>Итого по разделу IV</t>
  </si>
  <si>
    <t>V. КРАТКОСРОЧНЫЕ ОБЯЗАТЕЛЬСТВА</t>
  </si>
  <si>
    <t>Кредиторская задолженность</t>
  </si>
  <si>
    <t>Доходы будущих периодов</t>
  </si>
  <si>
    <t>Оценочные обязательства</t>
  </si>
  <si>
    <t>Прочие обязательства</t>
  </si>
  <si>
    <t>Итого по разделу V</t>
  </si>
  <si>
    <t>Выручка</t>
  </si>
  <si>
    <t>Себестоимость продаж</t>
  </si>
  <si>
    <t>Валовая прибыль (убыток)</t>
  </si>
  <si>
    <t>Коммерческие расходы</t>
  </si>
  <si>
    <t>Управленческие расходы</t>
  </si>
  <si>
    <t>Прибыль (убыток) от продаж</t>
  </si>
  <si>
    <t>Доходы от участия в других организациях</t>
  </si>
  <si>
    <t>Проценты к получению</t>
  </si>
  <si>
    <t>Проценты к уплате</t>
  </si>
  <si>
    <t>Прочие доходы</t>
  </si>
  <si>
    <t>Прочие расходы</t>
  </si>
  <si>
    <t>Прибыль (убыток) до налогообложения</t>
  </si>
  <si>
    <t>Налог на прибыль</t>
  </si>
  <si>
    <t>текущий налог на прибыль (до 2020 г. это стр. 2410)</t>
  </si>
  <si>
    <t>отложенный налог на прибыль</t>
  </si>
  <si>
    <t>Прочее</t>
  </si>
  <si>
    <t>Чистая прибыль (убыток)</t>
  </si>
  <si>
    <t>СПРАВОЧНО</t>
  </si>
  <si>
    <t>Совокупный финансовый результат периода</t>
  </si>
  <si>
    <t>Отчет о движении денежных средств</t>
  </si>
  <si>
    <t>Денежные потоки от текущих операций</t>
  </si>
  <si>
    <t>Поступления - всего</t>
  </si>
  <si>
    <t>в том числе:</t>
  </si>
  <si>
    <t>от продажи продукции, товаров, работ и услуг</t>
  </si>
  <si>
    <t>арендных платежей, лицензионных платежей, роялти, комиссионных и иных аналогичных платежей</t>
  </si>
  <si>
    <t>прочие поступления</t>
  </si>
  <si>
    <t>Платежи - всего</t>
  </si>
  <si>
    <t>поставщикам (подрядчикам) за сырье, материалы, работы, услуги</t>
  </si>
  <si>
    <t>в связи с оплатой труда работников</t>
  </si>
  <si>
    <t>процентов по долговым обязательствам</t>
  </si>
  <si>
    <t>налога на прибыль организаций</t>
  </si>
  <si>
    <t>вписываемый показатель (по платежам денежных потоков от текущих операций)</t>
  </si>
  <si>
    <t>прочие платежи</t>
  </si>
  <si>
    <t>Сальдо денежных потоков от текущих операций</t>
  </si>
  <si>
    <t>Денежные потоки от инвестиционных операций</t>
  </si>
  <si>
    <t>от продажи внеоборотных активов (кроме финансовых вложений)</t>
  </si>
  <si>
    <t>от продажи акций других организаций (долей участия)</t>
  </si>
  <si>
    <t>от возврата предоставленных займов, от продажи долговых ценных бумаг (прав требования денежных средств к другим лицам)</t>
  </si>
  <si>
    <t>дивидендов, процентов по долговым финансовым вложениям и аналогичных поступлений от долевого участия в других организациях</t>
  </si>
  <si>
    <t>в связи с приобретением, созданием, модернизацией, реконструкцией и подготовкой к использованию внеоборотных активов</t>
  </si>
  <si>
    <t>в связи с приобретением акций других организаций (долей участия)</t>
  </si>
  <si>
    <t>в связи с приобретением долговых ценных бумаг (прав требования денежных средств к другим лицам), предоставление займов другим лицам</t>
  </si>
  <si>
    <t>Сальдо денежных потоков от инвестиционных операций</t>
  </si>
  <si>
    <t>Денежные потоки от финансовых операций</t>
  </si>
  <si>
    <t>получение кредитов и займов</t>
  </si>
  <si>
    <t>от выпуска облигаций, векселей и других долговых ценных бумаг и др.</t>
  </si>
  <si>
    <t>собственникам (участникам) в связи с выкупом у них акций (долей участия) организации или их выходом из состава участников</t>
  </si>
  <si>
    <t>на уплату дивидендов и иных платежей</t>
  </si>
  <si>
    <t>по распределению прибыли в пользу собственников (участников) в связи с погашением (выкупом) векселей и других долговых ценных бумаг, возврат кредитов и займов</t>
  </si>
  <si>
    <t>Сальдо денежных потоков от финансовых операций</t>
  </si>
  <si>
    <t>Сальдо денежных потоков за отчетный период</t>
  </si>
  <si>
    <t>Остаток денежных средств и денежных эквивалентов на начало отчетного периода</t>
  </si>
  <si>
    <t>Остаток денежных средств и денежных эквивалентов на конец отчетного периода</t>
  </si>
  <si>
    <t>Величина влияния изменений курса иностранной валюты по отношению к рублю</t>
  </si>
  <si>
    <t>Показатель</t>
  </si>
  <si>
    <t>Расчетная формула</t>
  </si>
  <si>
    <t>нормативное значение</t>
  </si>
  <si>
    <r>
      <t>1.</t>
    </r>
    <r>
      <rPr>
        <b/>
        <sz val="7"/>
        <color theme="1"/>
        <rFont val="Times New Roman"/>
        <family val="1"/>
        <charset val="204"/>
      </rPr>
      <t xml:space="preserve">     </t>
    </r>
    <r>
      <rPr>
        <b/>
        <sz val="10"/>
        <color theme="1"/>
        <rFont val="Arial"/>
        <family val="2"/>
        <charset val="204"/>
      </rPr>
      <t>Показатели платежеспособности и ликвидности</t>
    </r>
  </si>
  <si>
    <t>1.1. Коэффициент абсолютной ликвидности</t>
  </si>
  <si>
    <t>(денежные средства + краткосрочные финансовые вложения) / краткосрочные обязательства</t>
  </si>
  <si>
    <t>норма больше 0,2</t>
  </si>
  <si>
    <t>1.2.Коэффициент критической ликвидности</t>
  </si>
  <si>
    <t>(денежные средства + краткосрочные финансовые вложения + краткосрочная дебиторская задолженность + прочие оборотные активы) / краткосрочные обязательства</t>
  </si>
  <si>
    <t>0,7-1</t>
  </si>
  <si>
    <t>1.3 Коэффициент текущей ликвидности</t>
  </si>
  <si>
    <t xml:space="preserve"> (оборотные активы - долгосрочная дебиторская задолженность) / краткосрочные обязательства</t>
  </si>
  <si>
    <t>больше 2</t>
  </si>
  <si>
    <t>2.1.А1 наиболее ликвидные</t>
  </si>
  <si>
    <t>денежные средства и краткосрочные финансовые вложения</t>
  </si>
  <si>
    <t>2.2.А2 быстрореализуемые активы</t>
  </si>
  <si>
    <t>краткосрочная дебиторская задолженность и прочие оборотные активы</t>
  </si>
  <si>
    <t>2.3.А3 медленно реализуемые активы</t>
  </si>
  <si>
    <t>запасы, НДС, долгосрочная дебиторская задолженность</t>
  </si>
  <si>
    <t>2.4.А4 труднореализуемые активы</t>
  </si>
  <si>
    <t>внеоборотные активы</t>
  </si>
  <si>
    <t>2.5.П1 наиболее срочные обязательства</t>
  </si>
  <si>
    <t>кредиторская задолженность (перед поставщиками, персоналом, по налогам)</t>
  </si>
  <si>
    <t>2.6.П2 краткосрочные обязательства</t>
  </si>
  <si>
    <t>краткосрочные кредиты, прочие краткосрочные обязательства</t>
  </si>
  <si>
    <t>2.7.П3 долгосрочные обязательства</t>
  </si>
  <si>
    <t>долгосрочные обязательства</t>
  </si>
  <si>
    <t>2.8.П4 постоянные пассивы</t>
  </si>
  <si>
    <t>собственный капитал, доходы будущих периодов</t>
  </si>
  <si>
    <t>2.9.баланс абсолютен ликвиден</t>
  </si>
  <si>
    <t>А1&gt;=П1, А2&gt;=П2, А3&gt;=П3, А4&lt;=П4</t>
  </si>
  <si>
    <t>3.1.Коэффициент автономии</t>
  </si>
  <si>
    <t>(собственный капитал + доходы будущих периодов) / пассивы</t>
  </si>
  <si>
    <t>больше 0,5</t>
  </si>
  <si>
    <t>3.2.Коэффициент финансовой устойчивости</t>
  </si>
  <si>
    <t>(собственный капитал + доходы будущих периодов + долгосрочные обязательства) / пассивы</t>
  </si>
  <si>
    <t>больше 0,6</t>
  </si>
  <si>
    <t>3.3.Коэффициент финансовой зависимости</t>
  </si>
  <si>
    <t>(краткосрочные и долгосрочные обязательства) / пассивы</t>
  </si>
  <si>
    <t>меньше 0,5</t>
  </si>
  <si>
    <t>3.4.Чистые активы организации</t>
  </si>
  <si>
    <t>активы - краткосрочные и долгосрочные обязательства (доходы будущих периодов не вычитаем)</t>
  </si>
  <si>
    <t>больше 0</t>
  </si>
  <si>
    <t>3.5.Чистые ОА</t>
  </si>
  <si>
    <t>оборотные активы - краткосрочные обязательства(доходы будущих периодов не вычитаем)</t>
  </si>
  <si>
    <t>3.6.Собственный оборотный капитал</t>
  </si>
  <si>
    <t>собственный капитал + долгосрочные обязательства + доходы будущих периодов - внеоборотные активы</t>
  </si>
  <si>
    <t>3.7.Коэффициент обеспеченности оборотных активов собственным оборотным капиталом</t>
  </si>
  <si>
    <t>(собственный оборотный капитал) / оборотные активы</t>
  </si>
  <si>
    <t>больше 0,1</t>
  </si>
  <si>
    <t>3.8.Коэффициент обеспеченности запасов собственным оборотным капиталом</t>
  </si>
  <si>
    <t>(собственный оборотный капитал) / запасы</t>
  </si>
  <si>
    <t>больше 0,3</t>
  </si>
  <si>
    <t>3.9.Коэффициент маневренности собственного капитала</t>
  </si>
  <si>
    <t>собственный оборотный капитал / (собственный капитал + долгосрочные обязательства + доходы будущих периодов)</t>
  </si>
  <si>
    <t>больше 0,2</t>
  </si>
  <si>
    <t>3.10.Коэффициент постоянного внеоборотного актива</t>
  </si>
  <si>
    <t>внеоборотные активы / (собственный капитал +долгосрочные обязательства + доходы будущих периодов)</t>
  </si>
  <si>
    <t>3.11.Коэффициент финансового рычага</t>
  </si>
  <si>
    <t>(краткосрочные и долгосрочные обязательства-доходы будущих периодов) / (собственный капитал + доходы будущих периодов)</t>
  </si>
  <si>
    <t>от 0 до 1</t>
  </si>
  <si>
    <t>3.12.Коэффициент погашения краткосрочных обязательств</t>
  </si>
  <si>
    <t>краткосрочные обязательства(среднее)/чистая прибыль</t>
  </si>
  <si>
    <t>чем меньше, тем лучше</t>
  </si>
  <si>
    <t>4.1.Оборачиваемость запасов</t>
  </si>
  <si>
    <t>365 х запасы (среднее) / выручка</t>
  </si>
  <si>
    <t>4.2.Оборачиваемость НДС</t>
  </si>
  <si>
    <t>365 х НДС (среднее) / выручка</t>
  </si>
  <si>
    <t>4.3.Оборачиваемость краткосрочной дебиторской задолженности</t>
  </si>
  <si>
    <t>365 х краткосрочная дебиторская задолженность (среднее) / выручка</t>
  </si>
  <si>
    <t>4.4.Оборачиваемость денежных средств</t>
  </si>
  <si>
    <t>365 х денежные средства (среднее) / выручка</t>
  </si>
  <si>
    <t>4.5.Продолжительность оборота средств в производстве</t>
  </si>
  <si>
    <t>365 х (запасы + НДС среднее) / выручка</t>
  </si>
  <si>
    <t>4.6.Продолжительность оборота средств в расчетах</t>
  </si>
  <si>
    <t>365 х (оборотные активы – запасы - НДС) / выручка</t>
  </si>
  <si>
    <t>4.7.Оборачиваемость краткосрочных обязательств</t>
  </si>
  <si>
    <t>365 х краткосрочные обязательства (среднее) / выручка</t>
  </si>
  <si>
    <t>4.8.Оборачиваемость кредиторской задолженности поставщикам</t>
  </si>
  <si>
    <t>365 х кредиторская задолженность поставщикам (среднее) / выручка</t>
  </si>
  <si>
    <t>4.9.Оборачиваемость задолженности перед внебюджетными фондами</t>
  </si>
  <si>
    <t>365 х задолженность перед внебюджетными фондами (среднее) / выручка</t>
  </si>
  <si>
    <t>4.10.Оборачиваемость задолженности по налогам и сборам</t>
  </si>
  <si>
    <t>365 х задолженность по налогам (среднее) / выручка</t>
  </si>
  <si>
    <t>4.11.Длительность операционного цикла</t>
  </si>
  <si>
    <t>оборачиваемость запасов + оборачиваемость дебиторской задолженности</t>
  </si>
  <si>
    <t>4.12.Длительность финансового цикла</t>
  </si>
  <si>
    <t>оборачиваемость запасов + оборачиваемость дебиторской задолженности - оборачиваемость краткосрочной кредиторской задолженности</t>
  </si>
  <si>
    <t>5.1.Рентабельность активов</t>
  </si>
  <si>
    <t>прибыль до налогообложения / активы (среднее)</t>
  </si>
  <si>
    <t>5.2.Рентабельность собственного капитала</t>
  </si>
  <si>
    <t>чистая прибыль / собственный капитал (средний)</t>
  </si>
  <si>
    <t>5.3.Рентабельность оборотных активов</t>
  </si>
  <si>
    <t>прибыль до налогообложения / оборотные активы (среднее)</t>
  </si>
  <si>
    <t>5.4.Рентабельность продаж</t>
  </si>
  <si>
    <t>прибыль от продаж / выручка</t>
  </si>
  <si>
    <t xml:space="preserve">5.5.Рентабельность производственных затрат </t>
  </si>
  <si>
    <t>прибыль до налогообложения /себестоимость</t>
  </si>
  <si>
    <r>
      <t>1.</t>
    </r>
    <r>
      <rPr>
        <b/>
        <sz val="7"/>
        <color theme="1"/>
        <rFont val="Times New Roman"/>
        <family val="1"/>
        <charset val="204"/>
      </rPr>
      <t xml:space="preserve">     </t>
    </r>
    <r>
      <rPr>
        <b/>
        <sz val="10"/>
        <color theme="1"/>
        <rFont val="Arial"/>
        <family val="2"/>
        <charset val="204"/>
      </rPr>
      <t>Показатели ликвидности баланса</t>
    </r>
  </si>
  <si>
    <r>
      <t>2.</t>
    </r>
    <r>
      <rPr>
        <b/>
        <sz val="7"/>
        <color theme="1"/>
        <rFont val="Times New Roman"/>
        <family val="1"/>
        <charset val="204"/>
      </rPr>
      <t xml:space="preserve">     </t>
    </r>
    <r>
      <rPr>
        <b/>
        <sz val="10"/>
        <color theme="1"/>
        <rFont val="Arial"/>
        <family val="2"/>
        <charset val="204"/>
      </rPr>
      <t>Показатели финансовой независимости и устойчивости</t>
    </r>
  </si>
  <si>
    <r>
      <t>3.</t>
    </r>
    <r>
      <rPr>
        <b/>
        <sz val="7"/>
        <color theme="1"/>
        <rFont val="Times New Roman"/>
        <family val="1"/>
        <charset val="204"/>
      </rPr>
      <t xml:space="preserve">     </t>
    </r>
    <r>
      <rPr>
        <b/>
        <sz val="10"/>
        <color theme="1"/>
        <rFont val="Arial"/>
        <family val="2"/>
        <charset val="204"/>
      </rPr>
      <t>Показатели деловой активности и оборачиваемости (в днях)</t>
    </r>
  </si>
  <si>
    <r>
      <t>4.</t>
    </r>
    <r>
      <rPr>
        <b/>
        <sz val="7"/>
        <color theme="1"/>
        <rFont val="Times New Roman"/>
        <family val="1"/>
        <charset val="204"/>
      </rPr>
      <t xml:space="preserve">     </t>
    </r>
    <r>
      <rPr>
        <b/>
        <sz val="10"/>
        <color theme="1"/>
        <rFont val="Arial"/>
        <family val="2"/>
        <charset val="204"/>
      </rPr>
      <t>Показатели рентабельности</t>
    </r>
  </si>
  <si>
    <t>Обосновать источник финансирования</t>
  </si>
  <si>
    <t>Источник</t>
  </si>
  <si>
    <t>Ставка</t>
  </si>
  <si>
    <t>Реальная стоимость</t>
  </si>
  <si>
    <t>Кредит</t>
  </si>
  <si>
    <t xml:space="preserve">Лизинг </t>
  </si>
  <si>
    <t xml:space="preserve">Займ у взаимозав </t>
  </si>
  <si>
    <t>Ключ ставка</t>
  </si>
  <si>
    <t>коэфф коррект</t>
  </si>
  <si>
    <t>Нормируемая ставка</t>
  </si>
  <si>
    <t>по 269 НК</t>
  </si>
  <si>
    <t>Сложность привлечения</t>
  </si>
  <si>
    <t>Стоим с уч привлеч</t>
  </si>
  <si>
    <t>Стоим с уч сл привл и налог рисков</t>
  </si>
  <si>
    <t xml:space="preserve">Хар нал рисков </t>
  </si>
  <si>
    <t>Оценить влияние изменения ставки и базы по НДС на измен НДС</t>
  </si>
  <si>
    <t>Базисн пер</t>
  </si>
  <si>
    <t>тек пер</t>
  </si>
  <si>
    <t>Абсол измен</t>
  </si>
  <si>
    <t>Относит измен</t>
  </si>
  <si>
    <t>База по НДС</t>
  </si>
  <si>
    <t>НДС начисл</t>
  </si>
  <si>
    <t>Ставка НДС</t>
  </si>
  <si>
    <t>Факторный анализ</t>
  </si>
  <si>
    <t>влияние изменения ставки  по НДС на измен НДС</t>
  </si>
  <si>
    <t>влияние изменения  базы по НДС на измен НДС</t>
  </si>
  <si>
    <t>Ннач ст = (Сот – Сбаз)  Ббаз</t>
  </si>
  <si>
    <t>Ннач баз = (Ботч – Ббаз)  Сотч</t>
  </si>
  <si>
    <t>Оценить влияние изменения ставки и базы по НДС на измен НДС с усилением кач фактора</t>
  </si>
  <si>
    <t>влияние изменения ставки  по НДС на измен НДС  (с усилен кач фактора)</t>
  </si>
  <si>
    <t>Ннач ст = (Сот – Сбаз)  Ботч</t>
  </si>
  <si>
    <t>Ннач баз = (Ботч – Ббаз)  Сбаз</t>
  </si>
  <si>
    <t>Оценить влияние изменения цены  и объёма от реализац  на измен выручки</t>
  </si>
  <si>
    <t>Оценить влияние изменения цены  и объёма от реализац  на измен выручки с усилением кач фактора</t>
  </si>
  <si>
    <t>выручка (S)=цена(p)*объём (V)</t>
  </si>
  <si>
    <t>Цена</t>
  </si>
  <si>
    <t>ОБЪём</t>
  </si>
  <si>
    <t>влияние изменения цены на  измен выручки</t>
  </si>
  <si>
    <t>влияние изменения объёма на  измен выручки</t>
  </si>
  <si>
    <t>влияние изменения цены на  измен выручки  (с усилен кач фактора)</t>
  </si>
  <si>
    <t>При помощи методов группировки, горизонтального и вертикального анализа, по представленным в таблице исходным данным, исследуйте структуру пассива баланса организации - налогоплательщика и ответьте на вопрос: каким образом изменится сумма и удельный вес статей, возникающих вследствие налогообложения (каждой и в совокупности) и статей неналогового характера (в целом). Оцените платёжеспособность налогоплательщика. Что интересного в сложившейся картине с позиции налогового консультанта?</t>
  </si>
  <si>
    <t>Наименование статьи пассива баланса</t>
  </si>
  <si>
    <t>Сумма, тыс. руб.</t>
  </si>
  <si>
    <t>Собственный капитал</t>
  </si>
  <si>
    <t>Долгосрочные заемные пассивы – всего</t>
  </si>
  <si>
    <t>в том числе ОНО</t>
  </si>
  <si>
    <t>Краткосрочные заемные пассивы - всего</t>
  </si>
  <si>
    <t>в том числе КЗ перед государством по налогам</t>
  </si>
  <si>
    <t>ОНО</t>
  </si>
  <si>
    <t>КЗ перед государством по налогам</t>
  </si>
  <si>
    <t>Заемные пассивы налоговые в т.ч.</t>
  </si>
  <si>
    <t>Заемные пассивы неналоговые в т.ч.</t>
  </si>
  <si>
    <t>Итого пассив</t>
  </si>
  <si>
    <t>Горизонтальный анализ</t>
  </si>
  <si>
    <t>Удельный вес 2020</t>
  </si>
  <si>
    <t>Изменение уд весов</t>
  </si>
  <si>
    <t>Вертикальный ан (ан структуры)</t>
  </si>
  <si>
    <t>Структурная динамика</t>
  </si>
  <si>
    <t>Удельный вес 2021</t>
  </si>
  <si>
    <t>Долгосрочные заемные пассивы  неналоговые</t>
  </si>
  <si>
    <t>Краткосрочные заемные пассивы неналоговые</t>
  </si>
  <si>
    <t>изменение</t>
  </si>
  <si>
    <t>НЕТ долг дебит задолж</t>
  </si>
  <si>
    <t>не является абсолютно ликвидным</t>
  </si>
  <si>
    <t>Гипотеза</t>
  </si>
  <si>
    <t>Показатели, тыс. руб.</t>
  </si>
  <si>
    <t>Внеоборотные активы</t>
  </si>
  <si>
    <t>Оборотные активы</t>
  </si>
  <si>
    <t>Текущие обязательства</t>
  </si>
  <si>
    <t>Значение, тыс. руб.</t>
  </si>
  <si>
    <t xml:space="preserve"> Запасы и НДС</t>
  </si>
  <si>
    <t>СОК (С уч дох буд пер) = Кап и рез + Дох буд пер - Внеоб акт</t>
  </si>
  <si>
    <t>СОК + ДО = СОС</t>
  </si>
  <si>
    <t>СОК + ДО + Займы и кред</t>
  </si>
  <si>
    <t>СОК - Запасы и НДС</t>
  </si>
  <si>
    <t>СОК + ДО - Запасы и НДС</t>
  </si>
  <si>
    <t>(СОК + ДО + Займы и кред) - Запасы и НДС</t>
  </si>
  <si>
    <t>Соотношение запасов и групп источников</t>
  </si>
  <si>
    <t>Тип финансовой устойчивости</t>
  </si>
  <si>
    <t xml:space="preserve">Запасы &lt; = СОК (без долгосрочных обязательств) </t>
  </si>
  <si>
    <t>Абсолютная финансовая устойчивость</t>
  </si>
  <si>
    <t xml:space="preserve">Запасы &lt; = СОК + ДО  </t>
  </si>
  <si>
    <t>Нормальная финансовая устойчивость</t>
  </si>
  <si>
    <t xml:space="preserve">Запасы &lt; = СОК + ДО+ЗК </t>
  </si>
  <si>
    <t>Неустойчивое финансовое состояние</t>
  </si>
  <si>
    <t>Запасы &lt; = СОК + ДО + ЗК + Зпост</t>
  </si>
  <si>
    <t>Кризисное финансовое состояние</t>
  </si>
  <si>
    <t>S (  ,   ,   ,)</t>
  </si>
  <si>
    <t>Трёхкомп показат фин уст</t>
  </si>
  <si>
    <t>Проанализируйте финансовую устойчивость организации-налогоплательщика, опираясь на данные, приведенные в таблице, и оцените ее способность отвечать по своим налоговым обязательствам, наряду с другими.</t>
  </si>
  <si>
    <t>Значение, тыс. руб.</t>
  </si>
  <si>
    <t>Итог по разделу «Внеоборотные активы» (ВА)</t>
  </si>
  <si>
    <t>Запасы (Зап)</t>
  </si>
  <si>
    <t>НДС по приобретенным ценностям</t>
  </si>
  <si>
    <t>Итог по разделу «Капитал и резервы» (СК)</t>
  </si>
  <si>
    <t>Долгосрочные обязательства (ДО)</t>
  </si>
  <si>
    <t>Краткосрочные заемные средства (КЗС)</t>
  </si>
  <si>
    <t xml:space="preserve">Финансовое состояние </t>
  </si>
  <si>
    <t>S ( 0,   0,   0,)</t>
  </si>
  <si>
    <t>Используя приведенные ниже данные, определите величину собственного оборотного капитала и его долю в финансировании оборотных активов. Дайте оценку изменениям.</t>
  </si>
  <si>
    <t>Аткив</t>
  </si>
  <si>
    <t>Пассив</t>
  </si>
  <si>
    <t xml:space="preserve">собственного оборотного капитала </t>
  </si>
  <si>
    <t>долю СОС в финансировании оборотных активов</t>
  </si>
  <si>
    <t>Дайте оценку динамике структуры текущих активов и рассчитайте финансовые коэффициенты ликвидности исходя из данных, представленных в таблице. Укажите, повлияют ли происшедшие изменения, в том числе связанные с суммой НДС, на своевременность налоговых платежей:</t>
  </si>
  <si>
    <t>Группы оборотных активов</t>
  </si>
  <si>
    <t>Стоимость, тыс. руб.</t>
  </si>
  <si>
    <t>Оборотные активы - всего:</t>
  </si>
  <si>
    <t>в т.ч. денежные средства</t>
  </si>
  <si>
    <t>в т.ч. сомнительная</t>
  </si>
  <si>
    <t>из них неликвиды</t>
  </si>
  <si>
    <t xml:space="preserve">Краткосрочная дебиторская  задолженность покупателей                      </t>
  </si>
  <si>
    <t>абсол измен</t>
  </si>
  <si>
    <t>относит измен</t>
  </si>
  <si>
    <t xml:space="preserve">Гипотеза-наличие долгосрочн дебиторск задолж </t>
  </si>
  <si>
    <t>Проверка по оборотным активам</t>
  </si>
  <si>
    <t>Коэффициент абсолютной ликвидности</t>
  </si>
  <si>
    <t>Коэффициент критической ликвидности</t>
  </si>
  <si>
    <t xml:space="preserve"> Коэффициент текущей ликвидности</t>
  </si>
  <si>
    <t>Коэффициент критической ликвидности с учётом исключения сомнит дебиторск задолженности</t>
  </si>
  <si>
    <t xml:space="preserve"> Коэффициент текущей ликвидности с учётом исключения сомнит дебиторск задолженности и неликвидных запасов</t>
  </si>
  <si>
    <t>нома</t>
  </si>
  <si>
    <t xml:space="preserve">Имеются следующие сведения о деятельности организации:
</t>
  </si>
  <si>
    <t>Проанализируйте изменение коэффициентов ликвидности. Оцените платежеспособность организации.</t>
  </si>
  <si>
    <t>31.12.2020, тыс. руб.</t>
  </si>
  <si>
    <t>31.12.2021, тыс. руб.</t>
  </si>
  <si>
    <t>Текущие активы</t>
  </si>
  <si>
    <t>в т.ч. запасы</t>
  </si>
  <si>
    <t>Коэффициент текущей ликвидности</t>
  </si>
  <si>
    <t>Коэффициент срочной ликвидности</t>
  </si>
  <si>
    <t>абсолютн измен</t>
  </si>
  <si>
    <t>Относительное изменение</t>
  </si>
  <si>
    <t>гипотеза - нет долгосрочной дебиторской задолженности</t>
  </si>
  <si>
    <t>оборотные активы / краткосрочные обязательства</t>
  </si>
  <si>
    <t>(оборотные активы -запасы) / краткосрочные обязательства</t>
  </si>
  <si>
    <t>0,75*кратк обяз=оборотн активы - запасы</t>
  </si>
  <si>
    <t>запасы=оборотн активы-0,75*кратк обяз</t>
  </si>
  <si>
    <t>Определите продолжительность операционного и финансового циклов за отчетный год по следующим данным:</t>
  </si>
  <si>
    <t xml:space="preserve">Какие выводы можно сделать, если в предыдущем году с момента возникновения до момента погашения задолженности поставщикам в среднем проходило 55 дней, а длительность операционного цикла составляла 120 дней, в том числе: период хранения материалов 67 дней, а средний срок погашения дебиторской задолженности - 43 дня.
</t>
  </si>
  <si>
    <t>Наимнование показателя</t>
  </si>
  <si>
    <t>Значение показателя, тыс. руб.</t>
  </si>
  <si>
    <t>Средняя стоимость дебиторской задолженности</t>
  </si>
  <si>
    <t>Средняя стоимость запасов материалов</t>
  </si>
  <si>
    <t>Средняя кредиторская задолженность поставщикам</t>
  </si>
  <si>
    <t>Выручка от реализации за год</t>
  </si>
  <si>
    <t>Объем закупок материалов у поставщиков</t>
  </si>
  <si>
    <t>предыд период</t>
  </si>
  <si>
    <t>обор запасов=365 х запасы (среднее) / Объем закупок материалов у поставщиков</t>
  </si>
  <si>
    <t>обор дебит задолж=365 х краткосрочная дебиторская задолженность (среднее) / выручка</t>
  </si>
  <si>
    <t>обор кредиторск задолж=365 х краткосрочная кредиторская задолженность (среднее) / выручка</t>
  </si>
  <si>
    <t>Длительность операционного цикла=оборачиваемость запасов + оборачиваемость дебиторской задолженности</t>
  </si>
  <si>
    <t>Длительность финансового цикла=оборачиваемость запасов + оборачиваемость дебиторской задолженности - оборачиваемость краткосрочной кредиторской задолженности</t>
  </si>
  <si>
    <t xml:space="preserve">Имеются следующие показатели, характеризующие деятельность организации в отчётном периоде. Временных разниц нет: Проанализируйте, какое влияние на величину показателя рентабельности капитала окажет изменение величины налога на прибыль.
</t>
  </si>
  <si>
    <t>Плановое значение, тыс. руб.</t>
  </si>
  <si>
    <t>Фактическое значение, тыс. руб.</t>
  </si>
  <si>
    <t>Прибыль до налогообложения</t>
  </si>
  <si>
    <t>Налогооблагаемая прибыль</t>
  </si>
  <si>
    <t>Капитал, в среднем за период</t>
  </si>
  <si>
    <t>Налог на прибыль &lt;7&gt;</t>
  </si>
  <si>
    <t>Рентабельность капитала</t>
  </si>
  <si>
    <t>Абсолютное изменение</t>
  </si>
  <si>
    <t>текущий налог на прибыль (по декларации)</t>
  </si>
  <si>
    <t xml:space="preserve">Организация оказывает услуги питания в буфете телерадиокомпании. Определите, как изменится рентабельность продаж в случае снижения величины налоговых издержек, входящих в состав постоянных затрат буфета, на 25% при одновременном снижении торговой надбавки на 4%.
В отчетном периоде затраты на продукты питания составили 250 тыс. руб.; постоянные расходы без учета налогов 165 тыс. руб.; торговая надбавка на продукты питания – 90%; налоговые издержки - 55 тыс. руб.
</t>
  </si>
  <si>
    <t>До измен</t>
  </si>
  <si>
    <t>После изм</t>
  </si>
  <si>
    <t xml:space="preserve"> затраты на продукты питания  VC</t>
  </si>
  <si>
    <t>торговой надбавки</t>
  </si>
  <si>
    <t>Постоянн расходы (без нал)</t>
  </si>
  <si>
    <t>Налог изд</t>
  </si>
  <si>
    <t>Прибыль</t>
  </si>
  <si>
    <t>рентабельность продаж</t>
  </si>
  <si>
    <t xml:space="preserve">Выручка организации (ОСНО) за анализируемый период составила 59 000 000 руб. (с НДС – 20%). Величина дебиторской задолженности организации на начало отчетного периода составляла 2 360 000 руб., на конец периода размер задолженности сократился на 15%. 
Проанализируйте показатели оборачиваемости дебиторской задолженности. Для каких целей определяются эти показатели?
</t>
  </si>
  <si>
    <t>Выручка (с НДС)</t>
  </si>
  <si>
    <t>Выручка ( без  НДС)</t>
  </si>
  <si>
    <t>Дебит задолж</t>
  </si>
  <si>
    <t>Оборачив дебит задолж</t>
  </si>
  <si>
    <t>Дебит задолж (среднее значение)</t>
  </si>
  <si>
    <t>Содерж опер</t>
  </si>
  <si>
    <t>Д</t>
  </si>
  <si>
    <t>К</t>
  </si>
  <si>
    <t>Сумма</t>
  </si>
  <si>
    <t>Получ ден средства</t>
  </si>
  <si>
    <t>Отраж доход от реал (выр)</t>
  </si>
  <si>
    <t>90.1</t>
  </si>
  <si>
    <t>НАЧИСЛ ндс</t>
  </si>
  <si>
    <t>90.3</t>
  </si>
  <si>
    <t>68.2</t>
  </si>
  <si>
    <t>угрозу возникновения признаков банкротства организации в соответствии с Методикой, утвержденной приказом Минэкономразвития России от 26.06.2019 № 382.</t>
  </si>
  <si>
    <t xml:space="preserve">Степень платежеспособности по краткосрочным обязательствам </t>
  </si>
  <si>
    <t>В предыдущем периоде, рентабельность оборотных активов - 13,06%. Проанализируйте изменение рентабельности оборотных активов в результате изменения балансового остатка дебиторской задолженности организации. Поясните экономический смысл этого показателя. Данные отчетного периода:</t>
  </si>
  <si>
    <t>Показатель, тыс. руб.</t>
  </si>
  <si>
    <t>Прибыль за период</t>
  </si>
  <si>
    <t xml:space="preserve">Сумма оборотных активов </t>
  </si>
  <si>
    <t xml:space="preserve">Дебиторская задолженность </t>
  </si>
  <si>
    <t>Изменение</t>
  </si>
  <si>
    <t>Среднее знач оборотных активов</t>
  </si>
  <si>
    <t>Среднее знач оборотных активов при неизменной дебиторской задолж</t>
  </si>
  <si>
    <t>Рентабельность оборотн акт</t>
  </si>
  <si>
    <t>Рентабельность оборотн акт при неизменн дебиторск задолж</t>
  </si>
  <si>
    <t>Рентабельность оборотн акт в пред периоде</t>
  </si>
  <si>
    <t>изменение Рентабельности оборотн акт</t>
  </si>
  <si>
    <t>Изменение рентабельности оборотн акт при неизменн дебиторск задолж</t>
  </si>
  <si>
    <t>В организации проведены мероприятия по налоговому планированию. Оцените их влияние на динамику рентабельности продаж. Исходные данные представлены в таблице.</t>
  </si>
  <si>
    <t>До налогового планирования</t>
  </si>
  <si>
    <t>После налогового планирования</t>
  </si>
  <si>
    <t xml:space="preserve">Выручка (нетто) от продажи </t>
  </si>
  <si>
    <t>Себестоимость продаж (без налоговых издержек)</t>
  </si>
  <si>
    <t>Коммерческие и управленческие расходы (без налоговых издержек)</t>
  </si>
  <si>
    <t>Величина налоговых издержек, входящих в состав себестоимости, коммерческих и управленческих расходов</t>
  </si>
  <si>
    <t>Абсолютн изменение</t>
  </si>
  <si>
    <t>Прибыль от продаж</t>
  </si>
  <si>
    <t>Рентабельность продаж</t>
  </si>
  <si>
    <t>Влияние измен налоговых изд не рент продаж</t>
  </si>
  <si>
    <t xml:space="preserve">Дайте оценку динамики абсолютной величины и уровня текущих затрат, в том числе их переменной и постоянной части. Рассчитайте сумму маржинального дохода, критического объема продаж, а также показатели операционного рычага.                                                                                                                                                                           </t>
  </si>
  <si>
    <t>Показатели</t>
  </si>
  <si>
    <t>1 изделие</t>
  </si>
  <si>
    <t>2 изделие</t>
  </si>
  <si>
    <t>3 изделие</t>
  </si>
  <si>
    <t>Итого</t>
  </si>
  <si>
    <t>Цена (ед)</t>
  </si>
  <si>
    <t>Переменные  затраты на ед</t>
  </si>
  <si>
    <t>Совокупные переменные затраты VC</t>
  </si>
  <si>
    <t>Выручка S</t>
  </si>
  <si>
    <t>Постоянные затраты FC в т.ч.</t>
  </si>
  <si>
    <t>Аренда (по VC)</t>
  </si>
  <si>
    <t>Реклама по S</t>
  </si>
  <si>
    <t>Зар плата управл с начисл по S</t>
  </si>
  <si>
    <t>Прочие по VC</t>
  </si>
  <si>
    <t>Коэфф пропорциональности по VC</t>
  </si>
  <si>
    <t>Коэфф пропорциональности по S</t>
  </si>
  <si>
    <t>Маржа GM</t>
  </si>
  <si>
    <t>Прибыль GI</t>
  </si>
  <si>
    <t>Объем продукции (шт) V</t>
  </si>
  <si>
    <t>Точка безубыт по V=(FC/GM)*V</t>
  </si>
  <si>
    <t>Запас фин прочности по V</t>
  </si>
  <si>
    <t>Запас фин прочности по V в %</t>
  </si>
  <si>
    <t>Точка безубыт по S=(FC/GM)*S</t>
  </si>
  <si>
    <t>Запас фин прочности по S</t>
  </si>
  <si>
    <t>Запас фин прочности по S в %</t>
  </si>
  <si>
    <t>Операционный рычаг (цена постоянна) Olp=const(V)=GM/GI</t>
  </si>
  <si>
    <t>Операционный рычаг (объём постоян) Olv=const(p)=S/GI</t>
  </si>
  <si>
    <t>выше 5 - риск повышенный</t>
  </si>
  <si>
    <t>выше 9 - риск повышенный</t>
  </si>
  <si>
    <t xml:space="preserve">Определить темп изменения прибыли </t>
  </si>
  <si>
    <t>2  V=const</t>
  </si>
  <si>
    <t>1  Цена p=const</t>
  </si>
  <si>
    <t>1.1  V увеличивается на 10%</t>
  </si>
  <si>
    <t>1.2  V снижается на 10%</t>
  </si>
  <si>
    <t>2.1  p (цена) увеличивается на 10%</t>
  </si>
  <si>
    <t>2.2  p (цена) снижается на 10%</t>
  </si>
  <si>
    <t>Распределим постоянные затраты по марже GM</t>
  </si>
  <si>
    <t>Аренда (по GM)</t>
  </si>
  <si>
    <t>Коэфф пропорциональности по GM</t>
  </si>
  <si>
    <t>Реклама по GM</t>
  </si>
  <si>
    <t>Зар плата управл с начисл по GM</t>
  </si>
  <si>
    <t>рент собств капит</t>
  </si>
  <si>
    <t>Плата за кредит</t>
  </si>
  <si>
    <t>Эф фин рычага=прирост рент собств капит</t>
  </si>
  <si>
    <t>Для финансирования проекта требуется 90 000 тыс. руб. В результате его реализации организация предполагает получить прибыль в сумме 20 000 тыс. руб. Менеджером рассматриваются три варианта финансирования.  Выберите оптимальный вариант финансирования проекта, обеспечивающий прирост рентабельности собственного капитала и минимизацию налоговой базы</t>
  </si>
  <si>
    <t>Капитал:</t>
  </si>
  <si>
    <t>собственный</t>
  </si>
  <si>
    <t>заемный под 20% годовых</t>
  </si>
  <si>
    <t>займ у взаимозав</t>
  </si>
  <si>
    <t>кредит</t>
  </si>
  <si>
    <t>за счёт собств средств</t>
  </si>
  <si>
    <t>Проценты по кредиту (займу), в т.ч. для нормируемых:</t>
  </si>
  <si>
    <t>Чистая прибыль</t>
  </si>
  <si>
    <t>Рентабельность собственного капитала = Чистая прибыль/Собственный капитал*100</t>
  </si>
  <si>
    <t xml:space="preserve">Эффект финансового рычага </t>
  </si>
  <si>
    <t>Экономическая рентабельность (ЭР)%=EBIT/Капитал*100</t>
  </si>
  <si>
    <r>
      <t>ЭФР = (1-НП) х (ЭР-СРСП</t>
    </r>
    <r>
      <rPr>
        <b/>
        <i/>
        <vertAlign val="subscript"/>
        <sz val="12"/>
        <color theme="1"/>
        <rFont val="Arial"/>
        <family val="2"/>
        <charset val="204"/>
      </rPr>
      <t>1</t>
    </r>
    <r>
      <rPr>
        <b/>
        <i/>
        <sz val="12"/>
        <color theme="1"/>
        <rFont val="Arial"/>
        <family val="2"/>
        <charset val="204"/>
      </rPr>
      <t>) х (ЗС/СС) – СРСП</t>
    </r>
    <r>
      <rPr>
        <b/>
        <i/>
        <vertAlign val="subscript"/>
        <sz val="12"/>
        <color theme="1"/>
        <rFont val="Arial"/>
        <family val="2"/>
        <charset val="204"/>
      </rPr>
      <t>2</t>
    </r>
    <r>
      <rPr>
        <b/>
        <i/>
        <sz val="12"/>
        <color theme="1"/>
        <rFont val="Arial"/>
        <family val="2"/>
        <charset val="204"/>
      </rPr>
      <t xml:space="preserve"> х (ЗС/СС)</t>
    </r>
  </si>
  <si>
    <t>в пределах (ключевой ставки ЦБ * 1,8)</t>
  </si>
  <si>
    <t>свыше (ключевой ставки ЦБ * 1,8)</t>
  </si>
  <si>
    <t>СРСП1</t>
  </si>
  <si>
    <t>СРСП2</t>
  </si>
  <si>
    <t>Ставка по договору</t>
  </si>
  <si>
    <t>Ключевая ставка</t>
  </si>
  <si>
    <t xml:space="preserve">Коэфф корректировки </t>
  </si>
  <si>
    <t>в соотов со ст 269 НК</t>
  </si>
  <si>
    <t>прирост рент собств капитала</t>
  </si>
  <si>
    <t>Вывод - заёмные источники выгодны</t>
  </si>
  <si>
    <t>Реальн рентаб собств кап с уч кредита</t>
  </si>
  <si>
    <t xml:space="preserve">По исходным данным оцените, у какой организации выше сила воздействия операционного рычага и эффект финансового рычага.  Расчеты произведите с учетом налогового корректора. </t>
  </si>
  <si>
    <t>Организации</t>
  </si>
  <si>
    <t>А</t>
  </si>
  <si>
    <t>Б</t>
  </si>
  <si>
    <t>Переменные затраты, руб.</t>
  </si>
  <si>
    <t>Постоянные затраты, руб.</t>
  </si>
  <si>
    <t>Рентабельность активов, %</t>
  </si>
  <si>
    <t>Годовая ставка за кредит, %</t>
  </si>
  <si>
    <t>Коэффициент соотношения   заемного и собственного капитала</t>
  </si>
  <si>
    <t>Объем продаж, руб. (выручка)</t>
  </si>
  <si>
    <t>Налоговый корректор</t>
  </si>
  <si>
    <t>Дифференциал</t>
  </si>
  <si>
    <t>Плечо</t>
  </si>
  <si>
    <t>Известно, что в предыдущем периоде выручка от реализации с учетом НДС (20%) составила 3,6 млн руб., а в отчетном периоде – 5,4 млн руб.; индекс цен на продукцию за анализируемый период составил 1,08.</t>
  </si>
  <si>
    <t>Определите влияние на изменение суммы НДС:</t>
  </si>
  <si>
    <t xml:space="preserve"> а) инфляции, выраженной в росте цен;</t>
  </si>
  <si>
    <t xml:space="preserve"> б) роста объема продаж. </t>
  </si>
  <si>
    <t>Измен выр по причине инфляции</t>
  </si>
  <si>
    <t>Измен выр по причине измен объёма от реал</t>
  </si>
  <si>
    <t>НДС в выручке</t>
  </si>
  <si>
    <t>Измен НДС  по причине инфляции</t>
  </si>
  <si>
    <t>Измен НДС  по причине измен объёма от реал</t>
  </si>
  <si>
    <t xml:space="preserve">В результате неучтённых инфляционных процессов прибыль организации до налогообложения превысила плановое значение (2900 тыс. руб.) на 12%, а налогооблагаемая прибыль превысила плановую величину (3150 тыс. руб.) на 10%.  
Дайте оценку (абсолютную и относительную) изменения чистой прибыли в связи с инфляцией.
</t>
  </si>
  <si>
    <t>Гипотеза иссл - нет временных разниц</t>
  </si>
  <si>
    <t>План</t>
  </si>
  <si>
    <t>Факт</t>
  </si>
  <si>
    <t>Абс измен</t>
  </si>
  <si>
    <t xml:space="preserve">налогооблагаемая прибыль </t>
  </si>
  <si>
    <t>в т.ч.</t>
  </si>
  <si>
    <t>текущий налог на прибыль</t>
  </si>
  <si>
    <t>Используя данные о хозяйственных операциях, составьте отчет (прямым способом) о движении денежных средств, определить сумму прибыли (выручку считать по отгрузке); укажите причины разли¬чий этих показателей.</t>
  </si>
  <si>
    <t>Операция</t>
  </si>
  <si>
    <t>Млн руб.</t>
  </si>
  <si>
    <t>Приобретены и оплачены производственные запасы</t>
  </si>
  <si>
    <t>Получена ссуда</t>
  </si>
  <si>
    <t>Начислена и выплачена зарплата</t>
  </si>
  <si>
    <t>Начислена амортизация</t>
  </si>
  <si>
    <t>Списаны на производство материалы</t>
  </si>
  <si>
    <t>Погашена ссуда</t>
  </si>
  <si>
    <t>Начислены и Уплачены проценты</t>
  </si>
  <si>
    <t>Отгружена продукция</t>
  </si>
  <si>
    <t>Зачислена на расчетный счет выручка</t>
  </si>
  <si>
    <t>Начислен и уплачен налог</t>
  </si>
  <si>
    <t>Приобретены и оплачены основные средства</t>
  </si>
  <si>
    <t>Притоки/оттоки денежных средств по сферам деятельности</t>
  </si>
  <si>
    <t>Приток денежных средств (млн руб.)</t>
  </si>
  <si>
    <t>Отток денежных средств (млн руб.)</t>
  </si>
  <si>
    <t>1. Потоки денежных средств в результате текущей деятельности:</t>
  </si>
  <si>
    <t>- денежные средства, полученные от покупателей и заказчиков (зачислена на расчетный счет выручка)</t>
  </si>
  <si>
    <t>- денежные средства, выплаченные поставщикам, подрядчикам, рабочим и служащим</t>
  </si>
  <si>
    <t>- налоги, уплаченные в бюджет (НДС, акцизы, налог на прибыль и др.)</t>
  </si>
  <si>
    <t>- проценты уплаченные</t>
  </si>
  <si>
    <t>Итого по разделу 1</t>
  </si>
  <si>
    <t>ЧДП по текущей деятельности</t>
  </si>
  <si>
    <t>2. Потоки денежных средств в результате инвестиционной деятельности:</t>
  </si>
  <si>
    <t>- приобретение и продажа основных средств</t>
  </si>
  <si>
    <t>Итого по разделу 2</t>
  </si>
  <si>
    <t>ЧДП по инвестиционной деятельности</t>
  </si>
  <si>
    <t>3. Потоки денежных средств в результате финансовой деятельности:</t>
  </si>
  <si>
    <t>- полученные и погашенные займы</t>
  </si>
  <si>
    <t>Итого по разделу 3</t>
  </si>
  <si>
    <t>Чистые денежные средства в результате финансовой деятельности</t>
  </si>
  <si>
    <t>ЧДП общий за отчетный период</t>
  </si>
  <si>
    <t>Выручка &lt;5&gt;</t>
  </si>
  <si>
    <t>P/L Отчёт о фин рез</t>
  </si>
  <si>
    <t>ОДДС Отчёт о движ ден средств</t>
  </si>
  <si>
    <t>На основе представленных в таблице данных используйте коэффициент достаточности ЧДП организации и выясните, позволит ли снижение налоговых выплат в текущем периоде на 80 тыс. руб.  достичь уровня достаточности ЧДП этой организации.</t>
  </si>
  <si>
    <t>Общая сумма поступлений ДС за период</t>
  </si>
  <si>
    <t>Общая сумма выбытия ДС за период</t>
  </si>
  <si>
    <t>Налоговые издержки (до снижения)</t>
  </si>
  <si>
    <t>Выплаты по краткосрочным кредитам и займам</t>
  </si>
  <si>
    <t>Суммы дивидендов, выплаченные собственником за период</t>
  </si>
  <si>
    <t>Уровень запасов ТМЦ на начало периода</t>
  </si>
  <si>
    <t>Уровень запасов ТМЦ на конец периода</t>
  </si>
  <si>
    <t>2 сниж нал на 80</t>
  </si>
  <si>
    <t>Платежи</t>
  </si>
  <si>
    <t>CF по тек дея</t>
  </si>
  <si>
    <t>достаточность ЧДП</t>
  </si>
  <si>
    <t>нет покрытия</t>
  </si>
  <si>
    <t>рациональный вариант</t>
  </si>
  <si>
    <t xml:space="preserve"> Годы</t>
  </si>
  <si>
    <t>Запасы,</t>
  </si>
  <si>
    <t>тыс. руб.</t>
  </si>
  <si>
    <t>НДС</t>
  </si>
  <si>
    <t>Дебиторская задолженность, тыс. руб.</t>
  </si>
  <si>
    <t>Кредиторская задолженность, тыс. руб.</t>
  </si>
  <si>
    <t>Инфляция в % к предыд. году</t>
  </si>
  <si>
    <t>Совмещая расчетно-аналитический и коэффициентный методы, спрогнозируйте величину потребности организации в оборотном капитале на 2023 год на основании исходных данных, представленных в таблице.  Также известно, что в планируемом 2023 году будет погашена налоговыми органами признанная в 2022 году  переплата налога на сумму 50 тыс. руб.</t>
  </si>
  <si>
    <t>Индекс инфл</t>
  </si>
  <si>
    <t xml:space="preserve">Потребн в обор капитале </t>
  </si>
  <si>
    <t xml:space="preserve">Скоррект Потребн в обор капитале </t>
  </si>
  <si>
    <t>Потребность в оборотном капитале на 2023</t>
  </si>
  <si>
    <t>Потребность в оборотном капитале на 2023 с уч переплаты</t>
  </si>
  <si>
    <t xml:space="preserve">Оцените эффективность бизнеса исходя из данных, приведенных в таблице, если прибыль до уплаты процентов 2000 тыс. руб.
Дайте рекомендации по оптимизации структуры капитала. Обоснуйте целесообразность привлечения кредита под 19% годовых.
</t>
  </si>
  <si>
    <t>Доля</t>
  </si>
  <si>
    <t>Цена (%)</t>
  </si>
  <si>
    <t>Доля*Цена</t>
  </si>
  <si>
    <t>Уставный капитал, в т.ч.</t>
  </si>
  <si>
    <t>Обыкновенные акции 75%, дивиденды 13%</t>
  </si>
  <si>
    <t>Привилегированные акции – 25%, дивиденды 14%</t>
  </si>
  <si>
    <t xml:space="preserve">Нераспределённая прибыль </t>
  </si>
  <si>
    <t>Итого собственного капитала</t>
  </si>
  <si>
    <t>Долгосрочные кредиты (22%)</t>
  </si>
  <si>
    <t>Краткосрочные кредиты (% – 500 тыс. руб)</t>
  </si>
  <si>
    <t>Кредиторская задолженность (в т.ч. штрафы 100 тыс. руб.)</t>
  </si>
  <si>
    <t>Задолженность по налогам (в т.ч. штрафы, пени - 200 тыс. руб.)</t>
  </si>
  <si>
    <t>Итого обязательств</t>
  </si>
  <si>
    <t>Итого капитал</t>
  </si>
  <si>
    <t xml:space="preserve">средневзвешенная стоимость капитала </t>
  </si>
  <si>
    <t>Рентабельность</t>
  </si>
  <si>
    <t>Обоснование  целесообразности привлечения кредита под 19% годовых</t>
  </si>
  <si>
    <t>WACC меньше рентабельности, следовательно, бизнес эффективен</t>
  </si>
  <si>
    <t>Выгодно перекредитование</t>
  </si>
  <si>
    <t>Определить WACC соб капит, WACCпо заёмн кап</t>
  </si>
  <si>
    <t xml:space="preserve"> WACC соб капит</t>
  </si>
  <si>
    <t>WACCпо заёмн кап</t>
  </si>
  <si>
    <t xml:space="preserve">8. По итогам II квартала 2020 г. сумма НДС, исчисленного к уплате, составила 21 000 000 руб. Согласно п. 1 ст. 174 НК РФ налог уплачивается равными долями не позднее 25 числа каждого из трех месяцев, следующих за истекшим налоговым периодом.
Оцените ежемесячный эффект от использования возможности отсрочить платеж по НДС в условиях 10% инфляции (инфляция годовая).
</t>
  </si>
  <si>
    <t xml:space="preserve">период                              </t>
  </si>
  <si>
    <t>показатель</t>
  </si>
  <si>
    <t xml:space="preserve">1 мес. </t>
  </si>
  <si>
    <t>квартала</t>
  </si>
  <si>
    <t>2 мес.</t>
  </si>
  <si>
    <t xml:space="preserve"> квартала</t>
  </si>
  <si>
    <t xml:space="preserve">3 мес. </t>
  </si>
  <si>
    <t>итого</t>
  </si>
  <si>
    <t>Платёж НДС без рассрочки</t>
  </si>
  <si>
    <t>Платёж НДС с  рассрочкой</t>
  </si>
  <si>
    <t>Коэффициент дисконтирования</t>
  </si>
  <si>
    <t>Дисконтированные выплаты НДС</t>
  </si>
  <si>
    <t>Дисконтированный эффект от рассрочки</t>
  </si>
  <si>
    <t xml:space="preserve">5. Организация - налогоплательщик может воспользоваться по одному из региональных налогов инвестиционным налоговым кредитом (ИНК), который готов предоставить уполномоченный орган под ½ ключевой ставки Банка России, составляющей в первом году его использования 11%, во втором – 10%, в третьем – 18% (условно).
В течение этих трех лет кредит должен погашаться равными долями. Прогнозный уровень инфляции составляет 11% в первом году, 12% во втором году, 10% в третьем году использования ИНК. Сумма ИНК 100 000 руб. (основание получения - выполнение особо важного заказа по социально-экономическому развитию региона, стоимость которого превышает сумму ИНК более чем в 2 раза). 
С учетом теории дисконтирования оцените экономический эффект от использования этой организацией ИНК.
</t>
  </si>
  <si>
    <t>Инфляция</t>
  </si>
  <si>
    <t>Сумма кредита</t>
  </si>
  <si>
    <t xml:space="preserve">Выплаты по кредиту </t>
  </si>
  <si>
    <t>Сумма долга</t>
  </si>
  <si>
    <t>Проценты</t>
  </si>
  <si>
    <t>CF</t>
  </si>
  <si>
    <t>Диск денежный поток (DCF)</t>
  </si>
  <si>
    <t>экономический эффект от использования этой организацией ИНК.</t>
  </si>
  <si>
    <t>Ставка по ИНК 1/2 Ключевой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</si>
</sst>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0.0%"/>
    <numFmt numFmtId="165" formatCode="_-* #,##0\ _₽_-;\-* #,##0\ _₽_-;_-* &quot;-&quot;??\ _₽_-;_-@_-"/>
    <numFmt numFmtId="166" formatCode="0.000"/>
    <numFmt numFmtId="167" formatCode="_-* #,##0.000\ _₽_-;\-* #,##0.000\ _₽_-;_-* &quot;-&quot;??\ _₽_-;_-@_-"/>
    <numFmt numFmtId="168" formatCode="0.0000"/>
    <numFmt numFmtId="169" formatCode="0.0"/>
  </numFmts>
  <fonts count="24">
    <font>
      <sz val="11"/>
      <color theme="1"/>
      <name val="Calibri"/>
      <family val="2"/>
      <scheme val="minor"/>
    </font>
    <font>
      <b/>
      <sz val="14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9"/>
      <color rgb="FF666666"/>
      <name val="Inherit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7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color rgb="FFFF0000"/>
      <name val="Arial"/>
      <family val="2"/>
      <charset val="204"/>
    </font>
    <font>
      <sz val="12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2"/>
      <color theme="1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vertAlign val="subscript"/>
      <sz val="12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18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i/>
      <sz val="10"/>
      <color rgb="FF000000"/>
      <name val="Arial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F0"/>
        <bgColor indexed="64"/>
      </patternFill>
    </fill>
  </fills>
  <borders count="17">
    <border>
      <left/>
      <right/>
      <top/>
      <bottom/>
      <diagonal/>
    </border>
    <border>
      <left style="medium">
        <color rgb="FFCACACA"/>
      </left>
      <right style="medium">
        <color rgb="FFCACACA"/>
      </right>
      <top style="medium">
        <color rgb="FFCACACA"/>
      </top>
      <bottom style="medium">
        <color rgb="FFCACACA"/>
      </bottom>
      <diagonal/>
    </border>
    <border>
      <left style="medium">
        <color rgb="FFCACACA"/>
      </left>
      <right/>
      <top style="medium">
        <color rgb="FFCACACA"/>
      </top>
      <bottom style="medium">
        <color rgb="FFCACACA"/>
      </bottom>
      <diagonal/>
    </border>
    <border>
      <left/>
      <right/>
      <top style="medium">
        <color rgb="FFCACACA"/>
      </top>
      <bottom style="medium">
        <color rgb="FFCACACA"/>
      </bottom>
      <diagonal/>
    </border>
    <border>
      <left style="medium">
        <color rgb="FFCACACA"/>
      </left>
      <right style="medium">
        <color rgb="FFCACACA"/>
      </right>
      <top style="medium">
        <color rgb="FFCACACA"/>
      </top>
      <bottom style="medium">
        <color rgb="FF000000"/>
      </bottom>
      <diagonal/>
    </border>
    <border>
      <left style="medium">
        <color rgb="FFCACACA"/>
      </left>
      <right style="medium">
        <color rgb="FFCACACA"/>
      </right>
      <top style="medium">
        <color rgb="FFCACACA"/>
      </top>
      <bottom/>
      <diagonal/>
    </border>
    <border>
      <left style="medium">
        <color rgb="FFCACACA"/>
      </left>
      <right style="medium">
        <color rgb="FFCACACA"/>
      </right>
      <top/>
      <bottom style="medium">
        <color rgb="FFCACACA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269">
    <xf numFmtId="0" fontId="0" fillId="0" borderId="0" xfId="0"/>
    <xf numFmtId="0" fontId="1" fillId="0" borderId="0" xfId="0" applyFont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3" fontId="3" fillId="3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vertical="center" wrapText="1"/>
    </xf>
    <xf numFmtId="3" fontId="3" fillId="2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0" fontId="4" fillId="3" borderId="1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vertical="center" wrapText="1"/>
    </xf>
    <xf numFmtId="3" fontId="2" fillId="2" borderId="1" xfId="0" applyNumberFormat="1" applyFont="1" applyFill="1" applyBorder="1" applyAlignment="1">
      <alignment horizontal="right" vertical="center"/>
    </xf>
    <xf numFmtId="0" fontId="3" fillId="3" borderId="4" xfId="0" applyFont="1" applyFill="1" applyBorder="1" applyAlignment="1">
      <alignment vertical="center" wrapText="1"/>
    </xf>
    <xf numFmtId="3" fontId="3" fillId="3" borderId="4" xfId="0" applyNumberFormat="1" applyFont="1" applyFill="1" applyBorder="1" applyAlignment="1">
      <alignment horizontal="right" vertical="center"/>
    </xf>
    <xf numFmtId="0" fontId="3" fillId="2" borderId="4" xfId="0" applyFont="1" applyFill="1" applyBorder="1" applyAlignment="1">
      <alignment vertical="center" wrapText="1"/>
    </xf>
    <xf numFmtId="3" fontId="3" fillId="2" borderId="4" xfId="0" applyNumberFormat="1" applyFont="1" applyFill="1" applyBorder="1" applyAlignment="1">
      <alignment horizontal="right" vertical="center"/>
    </xf>
    <xf numFmtId="0" fontId="3" fillId="3" borderId="5" xfId="0" applyFont="1" applyFill="1" applyBorder="1" applyAlignment="1">
      <alignment vertical="center" wrapText="1"/>
    </xf>
    <xf numFmtId="0" fontId="3" fillId="3" borderId="6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0" fontId="0" fillId="0" borderId="7" xfId="0" applyBorder="1"/>
    <xf numFmtId="9" fontId="0" fillId="0" borderId="7" xfId="0" applyNumberFormat="1" applyBorder="1"/>
    <xf numFmtId="9" fontId="0" fillId="0" borderId="7" xfId="2" applyFont="1" applyBorder="1"/>
    <xf numFmtId="10" fontId="0" fillId="0" borderId="7" xfId="0" applyNumberFormat="1" applyBorder="1"/>
    <xf numFmtId="164" fontId="0" fillId="0" borderId="7" xfId="2" applyNumberFormat="1" applyFont="1" applyBorder="1"/>
    <xf numFmtId="164" fontId="0" fillId="0" borderId="7" xfId="0" applyNumberFormat="1" applyBorder="1"/>
    <xf numFmtId="0" fontId="0" fillId="0" borderId="7" xfId="0" applyBorder="1" applyAlignment="1">
      <alignment wrapText="1"/>
    </xf>
    <xf numFmtId="164" fontId="0" fillId="6" borderId="7" xfId="2" applyNumberFormat="1" applyFont="1" applyFill="1" applyBorder="1"/>
    <xf numFmtId="165" fontId="0" fillId="0" borderId="7" xfId="1" applyNumberFormat="1" applyFont="1" applyBorder="1"/>
    <xf numFmtId="0" fontId="0" fillId="0" borderId="7" xfId="0" applyFill="1" applyBorder="1" applyAlignment="1">
      <alignment wrapText="1"/>
    </xf>
    <xf numFmtId="165" fontId="0" fillId="0" borderId="7" xfId="0" applyNumberFormat="1" applyBorder="1"/>
    <xf numFmtId="165" fontId="0" fillId="5" borderId="0" xfId="0" applyNumberFormat="1" applyFill="1"/>
    <xf numFmtId="165" fontId="0" fillId="5" borderId="7" xfId="1" applyNumberFormat="1" applyFont="1" applyFill="1" applyBorder="1"/>
    <xf numFmtId="0" fontId="0" fillId="7" borderId="0" xfId="0" applyFill="1"/>
    <xf numFmtId="0" fontId="0" fillId="0" borderId="7" xfId="0" applyNumberFormat="1" applyBorder="1"/>
    <xf numFmtId="0" fontId="0" fillId="0" borderId="0" xfId="0" applyAlignment="1">
      <alignment wrapText="1"/>
    </xf>
    <xf numFmtId="0" fontId="5" fillId="0" borderId="7" xfId="0" applyFont="1" applyBorder="1" applyAlignment="1">
      <alignment horizontal="justify" vertical="center" wrapText="1"/>
    </xf>
    <xf numFmtId="14" fontId="10" fillId="0" borderId="7" xfId="0" applyNumberFormat="1" applyFont="1" applyBorder="1" applyAlignment="1">
      <alignment horizontal="center" vertical="center" wrapText="1"/>
    </xf>
    <xf numFmtId="0" fontId="10" fillId="0" borderId="7" xfId="0" applyFont="1" applyBorder="1" applyAlignment="1">
      <alignment horizontal="justify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justify" vertical="center" wrapText="1"/>
    </xf>
    <xf numFmtId="0" fontId="10" fillId="7" borderId="7" xfId="0" applyFont="1" applyFill="1" applyBorder="1" applyAlignment="1">
      <alignment horizontal="justify" vertical="center" wrapText="1"/>
    </xf>
    <xf numFmtId="0" fontId="10" fillId="7" borderId="7" xfId="0" applyFont="1" applyFill="1" applyBorder="1" applyAlignment="1">
      <alignment horizontal="center" vertical="center" wrapText="1"/>
    </xf>
    <xf numFmtId="0" fontId="0" fillId="7" borderId="7" xfId="0" applyFill="1" applyBorder="1"/>
    <xf numFmtId="14" fontId="10" fillId="0" borderId="8" xfId="0" applyNumberFormat="1" applyFont="1" applyBorder="1" applyAlignment="1">
      <alignment horizontal="center" vertical="center" wrapText="1"/>
    </xf>
    <xf numFmtId="0" fontId="10" fillId="7" borderId="8" xfId="0" applyFont="1" applyFill="1" applyBorder="1" applyAlignment="1">
      <alignment horizontal="center" vertical="center" wrapText="1"/>
    </xf>
    <xf numFmtId="0" fontId="9" fillId="0" borderId="7" xfId="0" applyFont="1" applyBorder="1"/>
    <xf numFmtId="0" fontId="9" fillId="0" borderId="7" xfId="0" applyFont="1" applyBorder="1" applyAlignment="1">
      <alignment wrapText="1"/>
    </xf>
    <xf numFmtId="0" fontId="0" fillId="0" borderId="7" xfId="0" applyBorder="1" applyAlignment="1">
      <alignment wrapText="1"/>
    </xf>
    <xf numFmtId="0" fontId="9" fillId="7" borderId="7" xfId="0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/>
    <xf numFmtId="0" fontId="9" fillId="0" borderId="0" xfId="0" applyFont="1" applyBorder="1"/>
    <xf numFmtId="164" fontId="0" fillId="7" borderId="7" xfId="2" applyNumberFormat="1" applyFont="1" applyFill="1" applyBorder="1"/>
    <xf numFmtId="164" fontId="0" fillId="7" borderId="7" xfId="0" applyNumberFormat="1" applyFill="1" applyBorder="1"/>
    <xf numFmtId="0" fontId="0" fillId="8" borderId="7" xfId="0" applyFill="1" applyBorder="1"/>
    <xf numFmtId="164" fontId="0" fillId="8" borderId="7" xfId="2" applyNumberFormat="1" applyFont="1" applyFill="1" applyBorder="1"/>
    <xf numFmtId="164" fontId="0" fillId="8" borderId="7" xfId="0" applyNumberFormat="1" applyFill="1" applyBorder="1"/>
    <xf numFmtId="0" fontId="5" fillId="0" borderId="7" xfId="0" applyFont="1" applyBorder="1" applyAlignment="1">
      <alignment horizontal="justify" vertical="center"/>
    </xf>
    <xf numFmtId="0" fontId="0" fillId="0" borderId="7" xfId="0" applyBorder="1" applyAlignment="1">
      <alignment wrapText="1"/>
    </xf>
    <xf numFmtId="3" fontId="5" fillId="0" borderId="7" xfId="0" applyNumberFormat="1" applyFont="1" applyBorder="1" applyAlignment="1">
      <alignment horizontal="justify" vertical="center"/>
    </xf>
    <xf numFmtId="3" fontId="0" fillId="0" borderId="7" xfId="0" applyNumberFormat="1" applyBorder="1"/>
    <xf numFmtId="3" fontId="5" fillId="6" borderId="7" xfId="0" applyNumberFormat="1" applyFont="1" applyFill="1" applyBorder="1" applyAlignment="1">
      <alignment horizontal="justify" vertical="center"/>
    </xf>
    <xf numFmtId="3" fontId="5" fillId="9" borderId="7" xfId="0" applyNumberFormat="1" applyFont="1" applyFill="1" applyBorder="1" applyAlignment="1">
      <alignment horizontal="justify" vertical="center"/>
    </xf>
    <xf numFmtId="0" fontId="5" fillId="0" borderId="7" xfId="0" applyFont="1" applyBorder="1" applyAlignment="1">
      <alignment horizontal="justify" vertical="center" wrapText="1"/>
    </xf>
    <xf numFmtId="166" fontId="0" fillId="0" borderId="7" xfId="0" applyNumberFormat="1" applyBorder="1"/>
    <xf numFmtId="166" fontId="5" fillId="0" borderId="7" xfId="0" applyNumberFormat="1" applyFont="1" applyBorder="1" applyAlignment="1">
      <alignment horizontal="justify" vertical="center"/>
    </xf>
    <xf numFmtId="166" fontId="5" fillId="0" borderId="7" xfId="0" applyNumberFormat="1" applyFont="1" applyBorder="1" applyAlignment="1">
      <alignment horizontal="justify" vertical="center" wrapText="1"/>
    </xf>
    <xf numFmtId="14" fontId="5" fillId="0" borderId="7" xfId="0" applyNumberFormat="1" applyFont="1" applyBorder="1" applyAlignment="1">
      <alignment vertical="center" wrapText="1"/>
    </xf>
    <xf numFmtId="0" fontId="5" fillId="0" borderId="7" xfId="0" applyFont="1" applyBorder="1" applyAlignment="1">
      <alignment horizontal="center" vertical="center" wrapText="1"/>
    </xf>
    <xf numFmtId="0" fontId="11" fillId="4" borderId="7" xfId="0" applyFont="1" applyFill="1" applyBorder="1" applyAlignment="1">
      <alignment vertical="center" wrapText="1"/>
    </xf>
    <xf numFmtId="0" fontId="11" fillId="4" borderId="7" xfId="0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justify" vertical="center" wrapText="1"/>
    </xf>
    <xf numFmtId="0" fontId="5" fillId="0" borderId="0" xfId="0" applyFont="1" applyBorder="1" applyAlignment="1">
      <alignment horizontal="center" vertical="center" wrapText="1"/>
    </xf>
    <xf numFmtId="14" fontId="5" fillId="0" borderId="0" xfId="0" applyNumberFormat="1" applyFont="1" applyBorder="1" applyAlignment="1">
      <alignment vertical="center" wrapText="1"/>
    </xf>
    <xf numFmtId="0" fontId="0" fillId="0" borderId="0" xfId="0" applyAlignment="1">
      <alignment horizontal="center"/>
    </xf>
    <xf numFmtId="0" fontId="11" fillId="4" borderId="8" xfId="0" applyFont="1" applyFill="1" applyBorder="1" applyAlignment="1">
      <alignment horizontal="justify" vertical="center" wrapText="1"/>
    </xf>
    <xf numFmtId="0" fontId="11" fillId="4" borderId="10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12" fillId="4" borderId="7" xfId="0" applyFont="1" applyFill="1" applyBorder="1" applyAlignment="1">
      <alignment horizontal="justify" vertical="center" wrapText="1"/>
    </xf>
    <xf numFmtId="10" fontId="0" fillId="0" borderId="7" xfId="2" applyNumberFormat="1" applyFont="1" applyBorder="1"/>
    <xf numFmtId="0" fontId="5" fillId="0" borderId="7" xfId="0" applyFont="1" applyBorder="1" applyAlignment="1">
      <alignment horizontal="center" vertical="center" wrapText="1"/>
    </xf>
    <xf numFmtId="14" fontId="5" fillId="0" borderId="7" xfId="0" applyNumberFormat="1" applyFont="1" applyBorder="1" applyAlignment="1">
      <alignment horizontal="center" vertical="center" wrapText="1"/>
    </xf>
    <xf numFmtId="3" fontId="5" fillId="0" borderId="7" xfId="0" applyNumberFormat="1" applyFont="1" applyBorder="1" applyAlignment="1">
      <alignment horizontal="center" vertical="center" wrapText="1"/>
    </xf>
    <xf numFmtId="0" fontId="11" fillId="0" borderId="7" xfId="0" applyFont="1" applyBorder="1" applyAlignment="1">
      <alignment horizontal="justify" vertical="center" wrapText="1"/>
    </xf>
    <xf numFmtId="0" fontId="5" fillId="5" borderId="10" xfId="0" applyFont="1" applyFill="1" applyBorder="1" applyAlignment="1">
      <alignment horizontal="justify" vertical="center" wrapText="1"/>
    </xf>
    <xf numFmtId="0" fontId="0" fillId="5" borderId="10" xfId="0" applyFill="1" applyBorder="1"/>
    <xf numFmtId="3" fontId="0" fillId="5" borderId="7" xfId="0" applyNumberFormat="1" applyFill="1" applyBorder="1"/>
    <xf numFmtId="4" fontId="0" fillId="8" borderId="8" xfId="0" applyNumberFormat="1" applyFill="1" applyBorder="1"/>
    <xf numFmtId="164" fontId="0" fillId="5" borderId="10" xfId="2" applyNumberFormat="1" applyFont="1" applyFill="1" applyBorder="1"/>
    <xf numFmtId="0" fontId="0" fillId="0" borderId="11" xfId="0" applyBorder="1"/>
    <xf numFmtId="2" fontId="0" fillId="0" borderId="7" xfId="0" applyNumberFormat="1" applyBorder="1"/>
    <xf numFmtId="1" fontId="0" fillId="0" borderId="7" xfId="0" applyNumberFormat="1" applyBorder="1"/>
    <xf numFmtId="2" fontId="5" fillId="0" borderId="7" xfId="0" applyNumberFormat="1" applyFont="1" applyBorder="1" applyAlignment="1">
      <alignment horizontal="justify" vertical="center"/>
    </xf>
    <xf numFmtId="4" fontId="0" fillId="0" borderId="7" xfId="0" applyNumberFormat="1" applyBorder="1"/>
    <xf numFmtId="2" fontId="5" fillId="0" borderId="7" xfId="0" applyNumberFormat="1" applyFont="1" applyBorder="1" applyAlignment="1">
      <alignment horizontal="justify" vertical="center" wrapText="1"/>
    </xf>
    <xf numFmtId="1" fontId="5" fillId="0" borderId="7" xfId="0" applyNumberFormat="1" applyFont="1" applyBorder="1" applyAlignment="1">
      <alignment horizontal="justify" vertical="center"/>
    </xf>
    <xf numFmtId="0" fontId="5" fillId="0" borderId="7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wrapText="1"/>
    </xf>
    <xf numFmtId="164" fontId="5" fillId="0" borderId="7" xfId="2" applyNumberFormat="1" applyFont="1" applyBorder="1" applyAlignment="1">
      <alignment horizontal="justify" vertical="center"/>
    </xf>
    <xf numFmtId="10" fontId="5" fillId="0" borderId="7" xfId="2" applyNumberFormat="1" applyFont="1" applyBorder="1" applyAlignment="1">
      <alignment horizontal="justify" vertical="center"/>
    </xf>
    <xf numFmtId="3" fontId="5" fillId="0" borderId="7" xfId="0" applyNumberFormat="1" applyFont="1" applyBorder="1" applyAlignment="1">
      <alignment horizontal="justify" vertical="center" wrapText="1"/>
    </xf>
    <xf numFmtId="0" fontId="5" fillId="0" borderId="7" xfId="0" applyFont="1" applyFill="1" applyBorder="1" applyAlignment="1">
      <alignment horizontal="justify" vertical="center" wrapText="1"/>
    </xf>
    <xf numFmtId="0" fontId="0" fillId="0" borderId="8" xfId="0" applyBorder="1"/>
    <xf numFmtId="3" fontId="0" fillId="0" borderId="8" xfId="0" applyNumberFormat="1" applyBorder="1"/>
    <xf numFmtId="4" fontId="0" fillId="0" borderId="8" xfId="0" applyNumberFormat="1" applyBorder="1"/>
    <xf numFmtId="1" fontId="0" fillId="0" borderId="9" xfId="0" applyNumberFormat="1" applyBorder="1"/>
    <xf numFmtId="0" fontId="0" fillId="0" borderId="10" xfId="0" applyBorder="1" applyAlignment="1">
      <alignment wrapText="1"/>
    </xf>
    <xf numFmtId="0" fontId="14" fillId="0" borderId="7" xfId="3" applyBorder="1" applyAlignment="1">
      <alignment vertical="center" wrapText="1"/>
    </xf>
    <xf numFmtId="0" fontId="13" fillId="0" borderId="7" xfId="0" applyFont="1" applyBorder="1" applyAlignment="1">
      <alignment vertical="center" wrapText="1"/>
    </xf>
    <xf numFmtId="0" fontId="13" fillId="0" borderId="7" xfId="0" applyFont="1" applyBorder="1" applyAlignment="1">
      <alignment horizontal="center" vertical="center" wrapText="1"/>
    </xf>
    <xf numFmtId="0" fontId="0" fillId="5" borderId="7" xfId="0" applyFill="1" applyBorder="1"/>
    <xf numFmtId="0" fontId="5" fillId="5" borderId="7" xfId="0" applyFont="1" applyFill="1" applyBorder="1" applyAlignment="1">
      <alignment horizontal="center" vertical="center" wrapText="1"/>
    </xf>
    <xf numFmtId="0" fontId="0" fillId="0" borderId="7" xfId="0" applyFill="1" applyBorder="1"/>
    <xf numFmtId="10" fontId="0" fillId="0" borderId="7" xfId="2" applyNumberFormat="1" applyFont="1" applyFill="1" applyBorder="1"/>
    <xf numFmtId="0" fontId="0" fillId="0" borderId="9" xfId="0" applyBorder="1"/>
    <xf numFmtId="10" fontId="0" fillId="0" borderId="9" xfId="2" applyNumberFormat="1" applyFont="1" applyBorder="1"/>
    <xf numFmtId="0" fontId="0" fillId="0" borderId="9" xfId="2" applyNumberFormat="1" applyFont="1" applyBorder="1"/>
    <xf numFmtId="0" fontId="5" fillId="0" borderId="7" xfId="0" applyFont="1" applyFill="1" applyBorder="1" applyAlignment="1">
      <alignment horizontal="justify" vertical="center"/>
    </xf>
    <xf numFmtId="166" fontId="15" fillId="0" borderId="7" xfId="0" applyNumberFormat="1" applyFont="1" applyBorder="1"/>
    <xf numFmtId="14" fontId="0" fillId="0" borderId="0" xfId="0" applyNumberFormat="1"/>
    <xf numFmtId="0" fontId="5" fillId="0" borderId="7" xfId="0" applyFont="1" applyBorder="1" applyAlignment="1">
      <alignment vertical="center" wrapText="1"/>
    </xf>
    <xf numFmtId="3" fontId="5" fillId="0" borderId="7" xfId="0" applyNumberFormat="1" applyFont="1" applyBorder="1" applyAlignment="1">
      <alignment vertical="center" wrapText="1"/>
    </xf>
    <xf numFmtId="10" fontId="0" fillId="5" borderId="7" xfId="2" applyNumberFormat="1" applyFont="1" applyFill="1" applyBorder="1"/>
    <xf numFmtId="10" fontId="0" fillId="6" borderId="7" xfId="2" applyNumberFormat="1" applyFont="1" applyFill="1" applyBorder="1"/>
    <xf numFmtId="0" fontId="5" fillId="0" borderId="7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0" xfId="0" applyAlignment="1">
      <alignment wrapText="1"/>
    </xf>
    <xf numFmtId="0" fontId="5" fillId="0" borderId="7" xfId="0" applyFont="1" applyBorder="1" applyAlignment="1">
      <alignment vertical="center" wrapText="1"/>
    </xf>
    <xf numFmtId="0" fontId="5" fillId="0" borderId="7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165" fontId="5" fillId="0" borderId="7" xfId="1" applyNumberFormat="1" applyFont="1" applyBorder="1" applyAlignment="1">
      <alignment horizontal="center" vertical="center" wrapText="1"/>
    </xf>
    <xf numFmtId="0" fontId="5" fillId="5" borderId="7" xfId="0" applyFont="1" applyFill="1" applyBorder="1" applyAlignment="1">
      <alignment horizontal="justify" vertical="center" wrapText="1"/>
    </xf>
    <xf numFmtId="165" fontId="5" fillId="5" borderId="7" xfId="1" applyNumberFormat="1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vertical="center" wrapText="1"/>
    </xf>
    <xf numFmtId="43" fontId="0" fillId="0" borderId="7" xfId="1" applyNumberFormat="1" applyFont="1" applyBorder="1"/>
    <xf numFmtId="167" fontId="0" fillId="0" borderId="7" xfId="1" applyNumberFormat="1" applyFont="1" applyBorder="1"/>
    <xf numFmtId="165" fontId="0" fillId="0" borderId="0" xfId="0" applyNumberFormat="1"/>
    <xf numFmtId="10" fontId="15" fillId="0" borderId="7" xfId="2" applyNumberFormat="1" applyFont="1" applyBorder="1"/>
    <xf numFmtId="0" fontId="0" fillId="10" borderId="7" xfId="0" applyFill="1" applyBorder="1"/>
    <xf numFmtId="10" fontId="0" fillId="10" borderId="7" xfId="2" applyNumberFormat="1" applyFont="1" applyFill="1" applyBorder="1"/>
    <xf numFmtId="10" fontId="15" fillId="10" borderId="7" xfId="2" applyNumberFormat="1" applyFont="1" applyFill="1" applyBorder="1"/>
    <xf numFmtId="0" fontId="0" fillId="6" borderId="7" xfId="0" applyFill="1" applyBorder="1"/>
    <xf numFmtId="165" fontId="0" fillId="6" borderId="7" xfId="1" applyNumberFormat="1" applyFont="1" applyFill="1" applyBorder="1"/>
    <xf numFmtId="43" fontId="15" fillId="0" borderId="7" xfId="1" applyNumberFormat="1" applyFont="1" applyBorder="1"/>
    <xf numFmtId="0" fontId="0" fillId="6" borderId="7" xfId="0" applyFill="1" applyBorder="1" applyAlignment="1">
      <alignment wrapText="1"/>
    </xf>
    <xf numFmtId="9" fontId="0" fillId="0" borderId="0" xfId="0" applyNumberFormat="1"/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16" fillId="0" borderId="0" xfId="0" applyFont="1"/>
    <xf numFmtId="0" fontId="16" fillId="0" borderId="0" xfId="0" applyFont="1" applyAlignment="1">
      <alignment wrapText="1"/>
    </xf>
    <xf numFmtId="0" fontId="16" fillId="0" borderId="7" xfId="0" applyFont="1" applyBorder="1" applyAlignment="1">
      <alignment horizontal="justify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7" xfId="0" applyFont="1" applyBorder="1" applyAlignment="1">
      <alignment wrapText="1"/>
    </xf>
    <xf numFmtId="165" fontId="16" fillId="0" borderId="7" xfId="1" applyNumberFormat="1" applyFont="1" applyBorder="1" applyAlignment="1">
      <alignment horizontal="center" vertical="center" wrapText="1"/>
    </xf>
    <xf numFmtId="165" fontId="16" fillId="0" borderId="7" xfId="1" applyNumberFormat="1" applyFont="1" applyBorder="1"/>
    <xf numFmtId="165" fontId="16" fillId="0" borderId="7" xfId="1" applyNumberFormat="1" applyFont="1" applyBorder="1" applyAlignment="1">
      <alignment vertical="center" wrapText="1"/>
    </xf>
    <xf numFmtId="9" fontId="16" fillId="0" borderId="7" xfId="0" applyNumberFormat="1" applyFont="1" applyBorder="1" applyAlignment="1">
      <alignment wrapText="1"/>
    </xf>
    <xf numFmtId="164" fontId="16" fillId="0" borderId="7" xfId="2" applyNumberFormat="1" applyFont="1" applyBorder="1" applyAlignment="1">
      <alignment wrapText="1"/>
    </xf>
    <xf numFmtId="164" fontId="16" fillId="0" borderId="7" xfId="0" applyNumberFormat="1" applyFont="1" applyBorder="1" applyAlignment="1">
      <alignment wrapText="1"/>
    </xf>
    <xf numFmtId="165" fontId="16" fillId="0" borderId="9" xfId="1" applyNumberFormat="1" applyFont="1" applyBorder="1"/>
    <xf numFmtId="165" fontId="0" fillId="0" borderId="9" xfId="1" applyNumberFormat="1" applyFont="1" applyBorder="1"/>
    <xf numFmtId="0" fontId="16" fillId="0" borderId="10" xfId="0" applyFont="1" applyBorder="1" applyAlignment="1">
      <alignment horizontal="justify" vertical="center" wrapText="1"/>
    </xf>
    <xf numFmtId="0" fontId="17" fillId="4" borderId="7" xfId="0" applyFont="1" applyFill="1" applyBorder="1" applyAlignment="1">
      <alignment horizontal="justify" vertical="center"/>
    </xf>
    <xf numFmtId="0" fontId="17" fillId="4" borderId="7" xfId="0" applyFont="1" applyFill="1" applyBorder="1" applyAlignment="1">
      <alignment horizontal="right" vertical="center" wrapText="1"/>
    </xf>
    <xf numFmtId="0" fontId="17" fillId="4" borderId="7" xfId="0" applyFont="1" applyFill="1" applyBorder="1" applyAlignment="1">
      <alignment horizontal="justify" vertical="center" wrapText="1"/>
    </xf>
    <xf numFmtId="0" fontId="18" fillId="4" borderId="7" xfId="0" applyFont="1" applyFill="1" applyBorder="1" applyAlignment="1">
      <alignment horizontal="justify" vertical="center" wrapText="1"/>
    </xf>
    <xf numFmtId="165" fontId="0" fillId="6" borderId="9" xfId="1" applyNumberFormat="1" applyFont="1" applyFill="1" applyBorder="1"/>
    <xf numFmtId="10" fontId="0" fillId="12" borderId="7" xfId="2" applyNumberFormat="1" applyFont="1" applyFill="1" applyBorder="1"/>
    <xf numFmtId="10" fontId="0" fillId="13" borderId="7" xfId="2" applyNumberFormat="1" applyFont="1" applyFill="1" applyBorder="1"/>
    <xf numFmtId="9" fontId="5" fillId="0" borderId="7" xfId="0" applyNumberFormat="1" applyFont="1" applyBorder="1" applyAlignment="1">
      <alignment horizontal="center" vertical="center" wrapText="1"/>
    </xf>
    <xf numFmtId="3" fontId="0" fillId="6" borderId="7" xfId="0" applyNumberFormat="1" applyFill="1" applyBorder="1"/>
    <xf numFmtId="168" fontId="0" fillId="0" borderId="7" xfId="0" applyNumberFormat="1" applyBorder="1"/>
    <xf numFmtId="0" fontId="5" fillId="0" borderId="0" xfId="0" applyFont="1" applyAlignment="1">
      <alignment horizontal="justify" vertical="center"/>
    </xf>
    <xf numFmtId="0" fontId="13" fillId="0" borderId="7" xfId="0" applyFont="1" applyBorder="1" applyAlignment="1">
      <alignment horizontal="justify" vertical="center" wrapText="1"/>
    </xf>
    <xf numFmtId="0" fontId="0" fillId="5" borderId="0" xfId="0" applyFill="1"/>
    <xf numFmtId="0" fontId="16" fillId="4" borderId="7" xfId="0" applyFont="1" applyFill="1" applyBorder="1" applyAlignment="1">
      <alignment vertical="center" wrapText="1"/>
    </xf>
    <xf numFmtId="0" fontId="0" fillId="11" borderId="0" xfId="0" applyFill="1" applyAlignment="1">
      <alignment horizontal="center" vertical="center" wrapText="1"/>
    </xf>
    <xf numFmtId="0" fontId="5" fillId="11" borderId="7" xfId="0" applyFont="1" applyFill="1" applyBorder="1" applyAlignment="1">
      <alignment horizontal="justify" vertical="center" wrapText="1"/>
    </xf>
    <xf numFmtId="0" fontId="11" fillId="11" borderId="7" xfId="0" applyFont="1" applyFill="1" applyBorder="1" applyAlignment="1">
      <alignment horizontal="center" vertical="center" wrapText="1"/>
    </xf>
    <xf numFmtId="0" fontId="0" fillId="11" borderId="7" xfId="0" applyFill="1" applyBorder="1"/>
    <xf numFmtId="0" fontId="3" fillId="11" borderId="1" xfId="0" applyFont="1" applyFill="1" applyBorder="1" applyAlignment="1">
      <alignment vertical="center" wrapText="1"/>
    </xf>
    <xf numFmtId="3" fontId="3" fillId="11" borderId="1" xfId="0" applyNumberFormat="1" applyFont="1" applyFill="1" applyBorder="1" applyAlignment="1">
      <alignment horizontal="right" vertical="center"/>
    </xf>
    <xf numFmtId="0" fontId="21" fillId="0" borderId="0" xfId="0" applyFont="1" applyAlignment="1">
      <alignment horizontal="center" vertical="center"/>
    </xf>
    <xf numFmtId="0" fontId="20" fillId="0" borderId="7" xfId="0" applyFont="1" applyBorder="1" applyAlignment="1">
      <alignment horizontal="justify" vertical="center" wrapText="1"/>
    </xf>
    <xf numFmtId="9" fontId="5" fillId="0" borderId="7" xfId="0" applyNumberFormat="1" applyFont="1" applyBorder="1" applyAlignment="1">
      <alignment horizontal="justify" vertical="center" wrapText="1"/>
    </xf>
    <xf numFmtId="2" fontId="0" fillId="0" borderId="0" xfId="0" applyNumberFormat="1"/>
    <xf numFmtId="0" fontId="5" fillId="2" borderId="7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vertical="center" wrapText="1"/>
    </xf>
    <xf numFmtId="9" fontId="5" fillId="2" borderId="7" xfId="0" applyNumberFormat="1" applyFont="1" applyFill="1" applyBorder="1" applyAlignment="1">
      <alignment vertical="center" wrapText="1"/>
    </xf>
    <xf numFmtId="9" fontId="5" fillId="2" borderId="7" xfId="2" applyFont="1" applyFill="1" applyBorder="1" applyAlignment="1">
      <alignment vertical="center" wrapText="1"/>
    </xf>
    <xf numFmtId="164" fontId="5" fillId="2" borderId="7" xfId="2" applyNumberFormat="1" applyFont="1" applyFill="1" applyBorder="1" applyAlignment="1">
      <alignment vertical="center" wrapText="1"/>
    </xf>
    <xf numFmtId="0" fontId="22" fillId="2" borderId="7" xfId="0" applyFont="1" applyFill="1" applyBorder="1" applyAlignment="1">
      <alignment horizontal="center" vertical="center" wrapText="1"/>
    </xf>
    <xf numFmtId="168" fontId="5" fillId="2" borderId="7" xfId="0" applyNumberFormat="1" applyFont="1" applyFill="1" applyBorder="1" applyAlignment="1">
      <alignment vertical="center" wrapText="1"/>
    </xf>
    <xf numFmtId="168" fontId="5" fillId="5" borderId="7" xfId="0" applyNumberFormat="1" applyFont="1" applyFill="1" applyBorder="1" applyAlignment="1">
      <alignment vertical="center" wrapText="1"/>
    </xf>
    <xf numFmtId="169" fontId="5" fillId="2" borderId="7" xfId="0" applyNumberFormat="1" applyFont="1" applyFill="1" applyBorder="1" applyAlignment="1">
      <alignment vertical="center" wrapText="1"/>
    </xf>
    <xf numFmtId="10" fontId="5" fillId="2" borderId="7" xfId="2" applyNumberFormat="1" applyFont="1" applyFill="1" applyBorder="1" applyAlignment="1">
      <alignment vertical="center" wrapText="1"/>
    </xf>
    <xf numFmtId="10" fontId="5" fillId="5" borderId="7" xfId="2" applyNumberFormat="1" applyFont="1" applyFill="1" applyBorder="1" applyAlignment="1">
      <alignment vertical="center" wrapText="1"/>
    </xf>
    <xf numFmtId="10" fontId="5" fillId="2" borderId="7" xfId="0" applyNumberFormat="1" applyFont="1" applyFill="1" applyBorder="1" applyAlignment="1">
      <alignment vertical="center" wrapText="1"/>
    </xf>
    <xf numFmtId="0" fontId="5" fillId="0" borderId="7" xfId="0" applyFont="1" applyBorder="1"/>
    <xf numFmtId="164" fontId="0" fillId="0" borderId="0" xfId="2" applyNumberFormat="1" applyFont="1"/>
    <xf numFmtId="0" fontId="5" fillId="14" borderId="7" xfId="0" applyFont="1" applyFill="1" applyBorder="1" applyAlignment="1">
      <alignment vertical="center" wrapText="1"/>
    </xf>
    <xf numFmtId="9" fontId="5" fillId="14" borderId="7" xfId="0" applyNumberFormat="1" applyFont="1" applyFill="1" applyBorder="1" applyAlignment="1">
      <alignment vertical="center" wrapText="1"/>
    </xf>
    <xf numFmtId="9" fontId="5" fillId="14" borderId="7" xfId="2" applyFont="1" applyFill="1" applyBorder="1" applyAlignment="1">
      <alignment vertical="center" wrapText="1"/>
    </xf>
    <xf numFmtId="10" fontId="5" fillId="5" borderId="7" xfId="0" applyNumberFormat="1" applyFont="1" applyFill="1" applyBorder="1" applyAlignment="1">
      <alignment vertical="center" wrapText="1"/>
    </xf>
    <xf numFmtId="10" fontId="5" fillId="6" borderId="7" xfId="0" applyNumberFormat="1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0" fontId="5" fillId="5" borderId="7" xfId="0" applyFont="1" applyFill="1" applyBorder="1"/>
    <xf numFmtId="0" fontId="5" fillId="5" borderId="0" xfId="0" applyFont="1" applyFill="1" applyBorder="1"/>
    <xf numFmtId="0" fontId="23" fillId="4" borderId="15" xfId="0" applyFont="1" applyFill="1" applyBorder="1" applyAlignment="1">
      <alignment horizontal="center" vertical="center"/>
    </xf>
    <xf numFmtId="0" fontId="23" fillId="4" borderId="12" xfId="0" applyFont="1" applyFill="1" applyBorder="1" applyAlignment="1">
      <alignment horizontal="center" vertical="center"/>
    </xf>
    <xf numFmtId="0" fontId="23" fillId="4" borderId="16" xfId="0" applyFont="1" applyFill="1" applyBorder="1" applyAlignment="1">
      <alignment horizontal="center" vertical="center"/>
    </xf>
    <xf numFmtId="0" fontId="23" fillId="4" borderId="13" xfId="0" applyFont="1" applyFill="1" applyBorder="1" applyAlignment="1">
      <alignment horizontal="center" vertical="center"/>
    </xf>
    <xf numFmtId="0" fontId="23" fillId="4" borderId="12" xfId="0" applyFont="1" applyFill="1" applyBorder="1" applyAlignment="1">
      <alignment vertical="center"/>
    </xf>
    <xf numFmtId="3" fontId="23" fillId="4" borderId="13" xfId="0" applyNumberFormat="1" applyFont="1" applyFill="1" applyBorder="1" applyAlignment="1">
      <alignment horizontal="center" vertical="center"/>
    </xf>
    <xf numFmtId="0" fontId="16" fillId="4" borderId="13" xfId="0" applyFont="1" applyFill="1" applyBorder="1" applyAlignment="1">
      <alignment vertical="center"/>
    </xf>
    <xf numFmtId="4" fontId="23" fillId="4" borderId="13" xfId="0" applyNumberFormat="1" applyFont="1" applyFill="1" applyBorder="1" applyAlignment="1">
      <alignment horizontal="center" vertical="center"/>
    </xf>
    <xf numFmtId="0" fontId="23" fillId="4" borderId="12" xfId="0" applyFont="1" applyFill="1" applyBorder="1" applyAlignment="1">
      <alignment vertical="center" wrapText="1"/>
    </xf>
    <xf numFmtId="0" fontId="16" fillId="4" borderId="0" xfId="0" applyFont="1" applyFill="1" applyAlignment="1">
      <alignment vertical="center"/>
    </xf>
    <xf numFmtId="166" fontId="23" fillId="4" borderId="13" xfId="0" applyNumberFormat="1" applyFont="1" applyFill="1" applyBorder="1" applyAlignment="1">
      <alignment horizontal="center" vertical="center"/>
    </xf>
    <xf numFmtId="2" fontId="0" fillId="6" borderId="7" xfId="0" applyNumberFormat="1" applyFill="1" applyBorder="1"/>
    <xf numFmtId="0" fontId="6" fillId="4" borderId="7" xfId="0" applyFont="1" applyFill="1" applyBorder="1" applyAlignment="1">
      <alignment horizontal="justify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justify" vertical="center" wrapText="1"/>
    </xf>
    <xf numFmtId="0" fontId="5" fillId="0" borderId="8" xfId="0" applyFont="1" applyBorder="1" applyAlignment="1">
      <alignment horizontal="justify" vertical="center" wrapText="1"/>
    </xf>
    <xf numFmtId="0" fontId="0" fillId="0" borderId="9" xfId="0" applyBorder="1" applyAlignment="1">
      <alignment wrapText="1"/>
    </xf>
    <xf numFmtId="0" fontId="3" fillId="2" borderId="5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horizontal="right" vertical="center"/>
    </xf>
    <xf numFmtId="0" fontId="3" fillId="2" borderId="6" xfId="0" applyFont="1" applyFill="1" applyBorder="1" applyAlignment="1">
      <alignment horizontal="right" vertical="center"/>
    </xf>
    <xf numFmtId="0" fontId="4" fillId="2" borderId="5" xfId="0" applyFont="1" applyFill="1" applyBorder="1" applyAlignment="1">
      <alignment horizontal="right" vertical="center"/>
    </xf>
    <xf numFmtId="0" fontId="4" fillId="2" borderId="6" xfId="0" applyFont="1" applyFill="1" applyBorder="1" applyAlignment="1">
      <alignment horizontal="right" vertical="center"/>
    </xf>
    <xf numFmtId="0" fontId="3" fillId="2" borderId="2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vertical="center" wrapText="1"/>
    </xf>
    <xf numFmtId="0" fontId="3" fillId="3" borderId="6" xfId="0" applyFont="1" applyFill="1" applyBorder="1" applyAlignment="1">
      <alignment vertical="center" wrapText="1"/>
    </xf>
    <xf numFmtId="3" fontId="3" fillId="3" borderId="5" xfId="0" applyNumberFormat="1" applyFont="1" applyFill="1" applyBorder="1" applyAlignment="1">
      <alignment horizontal="right" vertical="center"/>
    </xf>
    <xf numFmtId="3" fontId="3" fillId="3" borderId="6" xfId="0" applyNumberFormat="1" applyFont="1" applyFill="1" applyBorder="1" applyAlignment="1">
      <alignment horizontal="right" vertical="center"/>
    </xf>
    <xf numFmtId="3" fontId="3" fillId="2" borderId="5" xfId="0" applyNumberFormat="1" applyFont="1" applyFill="1" applyBorder="1" applyAlignment="1">
      <alignment horizontal="right" vertical="center"/>
    </xf>
    <xf numFmtId="3" fontId="3" fillId="2" borderId="6" xfId="0" applyNumberFormat="1" applyFont="1" applyFill="1" applyBorder="1" applyAlignment="1">
      <alignment horizontal="right" vertical="center"/>
    </xf>
    <xf numFmtId="0" fontId="0" fillId="0" borderId="0" xfId="0" applyAlignment="1">
      <alignment wrapText="1"/>
    </xf>
    <xf numFmtId="0" fontId="5" fillId="0" borderId="0" xfId="0" applyFont="1" applyAlignment="1">
      <alignment horizontal="justify" vertical="center" wrapText="1"/>
    </xf>
    <xf numFmtId="0" fontId="5" fillId="0" borderId="7" xfId="0" applyFont="1" applyBorder="1" applyAlignment="1">
      <alignment vertical="center" wrapText="1"/>
    </xf>
    <xf numFmtId="0" fontId="0" fillId="0" borderId="0" xfId="0" applyAlignment="1">
      <alignment horizontal="left" vertical="top" wrapText="1"/>
    </xf>
    <xf numFmtId="0" fontId="5" fillId="0" borderId="7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5" fillId="0" borderId="0" xfId="0" applyFont="1" applyFill="1" applyBorder="1" applyAlignment="1">
      <alignment horizontal="justify" vertical="center" wrapText="1"/>
    </xf>
    <xf numFmtId="0" fontId="9" fillId="0" borderId="0" xfId="0" applyFont="1" applyAlignment="1">
      <alignment wrapText="1"/>
    </xf>
    <xf numFmtId="0" fontId="10" fillId="0" borderId="7" xfId="0" applyFont="1" applyBorder="1" applyAlignment="1">
      <alignment horizontal="justify" vertical="center" wrapText="1"/>
    </xf>
    <xf numFmtId="0" fontId="10" fillId="0" borderId="7" xfId="0" applyFont="1" applyBorder="1" applyAlignment="1">
      <alignment horizontal="center" vertical="center" wrapText="1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9" fillId="0" borderId="7" xfId="0" applyFont="1" applyBorder="1" applyAlignment="1">
      <alignment wrapText="1"/>
    </xf>
    <xf numFmtId="0" fontId="0" fillId="0" borderId="7" xfId="0" applyBorder="1" applyAlignment="1">
      <alignment wrapText="1"/>
    </xf>
    <xf numFmtId="0" fontId="5" fillId="2" borderId="14" xfId="0" applyFont="1" applyFill="1" applyBorder="1" applyAlignment="1">
      <alignment vertical="center" wrapText="1"/>
    </xf>
    <xf numFmtId="0" fontId="0" fillId="0" borderId="14" xfId="0" applyBorder="1" applyAlignment="1">
      <alignment wrapText="1"/>
    </xf>
    <xf numFmtId="0" fontId="23" fillId="4" borderId="15" xfId="0" applyFont="1" applyFill="1" applyBorder="1" applyAlignment="1">
      <alignment horizontal="center" vertical="center"/>
    </xf>
    <xf numFmtId="0" fontId="23" fillId="4" borderId="12" xfId="0" applyFont="1" applyFill="1" applyBorder="1" applyAlignment="1">
      <alignment horizontal="center" vertical="center"/>
    </xf>
    <xf numFmtId="0" fontId="16" fillId="0" borderId="0" xfId="0" applyFont="1" applyAlignment="1">
      <alignment wrapText="1"/>
    </xf>
    <xf numFmtId="0" fontId="20" fillId="0" borderId="7" xfId="0" applyFont="1" applyBorder="1" applyAlignment="1">
      <alignment horizontal="justify" vertical="center" wrapText="1"/>
    </xf>
    <xf numFmtId="0" fontId="11" fillId="4" borderId="7" xfId="0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justify" vertical="center" wrapText="1"/>
    </xf>
  </cellXfs>
  <cellStyles count="4">
    <cellStyle name="Гиперссылка" xfId="3" builtinId="8"/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181841</xdr:colOff>
      <xdr:row>129</xdr:row>
      <xdr:rowOff>0</xdr:rowOff>
    </xdr:from>
    <xdr:to>
      <xdr:col>6</xdr:col>
      <xdr:colOff>184281</xdr:colOff>
      <xdr:row>130</xdr:row>
      <xdr:rowOff>161881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213273" y="33450068"/>
          <a:ext cx="1266667" cy="352381"/>
        </a:xfrm>
        <a:prstGeom prst="rect">
          <a:avLst/>
        </a:prstGeom>
      </xdr:spPr>
    </xdr:pic>
    <xdr:clientData/>
  </xdr:twoCellAnchor>
  <xdr:oneCellAnchor>
    <xdr:from>
      <xdr:col>5</xdr:col>
      <xdr:colOff>181841</xdr:colOff>
      <xdr:row>145</xdr:row>
      <xdr:rowOff>0</xdr:rowOff>
    </xdr:from>
    <xdr:ext cx="1266667" cy="352381"/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213273" y="33450068"/>
          <a:ext cx="1266667" cy="352381"/>
        </a:xfrm>
        <a:prstGeom prst="rect">
          <a:avLst/>
        </a:prstGeom>
      </xdr:spPr>
    </xdr:pic>
    <xdr:clientData/>
  </xdr:oneCellAnchor>
  <xdr:oneCellAnchor>
    <xdr:from>
      <xdr:col>5</xdr:col>
      <xdr:colOff>181841</xdr:colOff>
      <xdr:row>160</xdr:row>
      <xdr:rowOff>0</xdr:rowOff>
    </xdr:from>
    <xdr:ext cx="1266667" cy="352381"/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213273" y="33450068"/>
          <a:ext cx="1266667" cy="35238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63"/>
  <sheetViews>
    <sheetView tabSelected="1" topLeftCell="A44" zoomScale="110" zoomScaleNormal="110" workbookViewId="0">
      <selection activeCell="H45" sqref="H45"/>
    </sheetView>
  </sheetViews>
  <sheetFormatPr defaultRowHeight="15"/>
  <cols>
    <col min="1" max="1" width="55.85546875" customWidth="1"/>
    <col min="3" max="3" width="14.140625" customWidth="1"/>
    <col min="4" max="4" width="15.5703125" customWidth="1"/>
    <col min="6" max="6" width="28.28515625" customWidth="1"/>
    <col min="7" max="7" width="47.7109375" customWidth="1"/>
    <col min="8" max="8" width="15.42578125" customWidth="1"/>
    <col min="9" max="9" width="13.42578125" customWidth="1"/>
    <col min="10" max="10" width="20.140625" customWidth="1"/>
  </cols>
  <sheetData>
    <row r="2" spans="1:11" ht="18.75" thickBot="1">
      <c r="A2" s="1" t="s">
        <v>0</v>
      </c>
    </row>
    <row r="3" spans="1:11" ht="15.75" thickBot="1">
      <c r="A3" s="2" t="s">
        <v>1</v>
      </c>
      <c r="B3" s="2" t="s">
        <v>2</v>
      </c>
      <c r="C3" s="3">
        <v>44561</v>
      </c>
      <c r="D3" s="3">
        <v>44196</v>
      </c>
      <c r="F3" t="s">
        <v>260</v>
      </c>
      <c r="G3" t="s">
        <v>258</v>
      </c>
    </row>
    <row r="4" spans="1:11" ht="15.75" thickBot="1">
      <c r="A4" s="227" t="s">
        <v>3</v>
      </c>
      <c r="B4" s="228"/>
      <c r="C4" s="228"/>
      <c r="D4" s="228"/>
    </row>
    <row r="5" spans="1:11" ht="15.75" thickBot="1">
      <c r="A5" s="227" t="s">
        <v>4</v>
      </c>
      <c r="B5" s="228"/>
      <c r="C5" s="228"/>
      <c r="D5" s="228"/>
    </row>
    <row r="6" spans="1:11" ht="39" thickBot="1">
      <c r="A6" s="4" t="s">
        <v>5</v>
      </c>
      <c r="B6" s="4">
        <v>1110</v>
      </c>
      <c r="C6" s="5">
        <v>441963</v>
      </c>
      <c r="D6" s="5">
        <v>405643</v>
      </c>
      <c r="F6" s="59" t="s">
        <v>94</v>
      </c>
      <c r="G6" s="59" t="s">
        <v>95</v>
      </c>
      <c r="H6" s="3">
        <v>44561</v>
      </c>
      <c r="I6" s="3">
        <v>44196</v>
      </c>
      <c r="J6" s="21" t="s">
        <v>257</v>
      </c>
      <c r="K6" s="59" t="s">
        <v>96</v>
      </c>
    </row>
    <row r="7" spans="1:11" ht="15.75" customHeight="1" thickBot="1">
      <c r="A7" s="6" t="s">
        <v>6</v>
      </c>
      <c r="B7" s="6">
        <v>1150</v>
      </c>
      <c r="C7" s="7">
        <v>3126909</v>
      </c>
      <c r="D7" s="7">
        <v>11031536</v>
      </c>
      <c r="F7" s="229" t="s">
        <v>97</v>
      </c>
      <c r="G7" s="229"/>
      <c r="H7" s="229"/>
      <c r="I7" s="21"/>
      <c r="J7" s="21"/>
      <c r="K7" s="21"/>
    </row>
    <row r="8" spans="1:11" ht="39" thickBot="1">
      <c r="A8" s="4" t="s">
        <v>7</v>
      </c>
      <c r="B8" s="4">
        <v>1160</v>
      </c>
      <c r="C8" s="5">
        <v>8363328</v>
      </c>
      <c r="D8" s="5">
        <v>6164</v>
      </c>
      <c r="F8" s="37" t="s">
        <v>98</v>
      </c>
      <c r="G8" s="37" t="s">
        <v>99</v>
      </c>
      <c r="H8" s="68">
        <f>(C18+C17)/(C40-C37)</f>
        <v>0.53071103444554568</v>
      </c>
      <c r="I8" s="68">
        <f>(D18+D17)/(D40-D37)</f>
        <v>1.1249659338043569</v>
      </c>
      <c r="J8" s="66">
        <f>H8-I8</f>
        <v>-0.59425489935881126</v>
      </c>
      <c r="K8" s="37" t="s">
        <v>100</v>
      </c>
    </row>
    <row r="9" spans="1:11" ht="51.75" thickBot="1">
      <c r="A9" s="6" t="s">
        <v>9</v>
      </c>
      <c r="B9" s="6">
        <v>1170</v>
      </c>
      <c r="C9" s="7">
        <v>823838520</v>
      </c>
      <c r="D9" s="7">
        <v>747104598</v>
      </c>
      <c r="F9" s="37" t="s">
        <v>101</v>
      </c>
      <c r="G9" s="37" t="s">
        <v>102</v>
      </c>
      <c r="H9" s="67">
        <f>(C18+C17+C16+C19)/(C40-C37)</f>
        <v>3.2302972846338487</v>
      </c>
      <c r="I9" s="67">
        <f>(D18+D17+D16+D19)/(D40-D37)</f>
        <v>3.4152794395422967</v>
      </c>
      <c r="J9" s="66">
        <f>H9-I9</f>
        <v>-0.18498215490844805</v>
      </c>
      <c r="K9" s="59" t="s">
        <v>103</v>
      </c>
    </row>
    <row r="10" spans="1:11" ht="26.25" thickBot="1">
      <c r="A10" s="4" t="s">
        <v>10</v>
      </c>
      <c r="B10" s="4">
        <v>1180</v>
      </c>
      <c r="C10" s="5">
        <v>578027</v>
      </c>
      <c r="D10" s="5">
        <v>570410</v>
      </c>
      <c r="F10" s="37" t="s">
        <v>104</v>
      </c>
      <c r="G10" s="37" t="s">
        <v>105</v>
      </c>
      <c r="H10" s="67">
        <f>C20/(C40-C37)</f>
        <v>3.2967045547043705</v>
      </c>
      <c r="I10" s="67">
        <f>D20/(D40-D37)</f>
        <v>3.4668250365293711</v>
      </c>
      <c r="J10" s="66">
        <f>H10-I10</f>
        <v>-0.17012048182500061</v>
      </c>
      <c r="K10" s="59" t="s">
        <v>106</v>
      </c>
    </row>
    <row r="11" spans="1:11" ht="15.75" thickBot="1">
      <c r="A11" s="6" t="s">
        <v>11</v>
      </c>
      <c r="B11" s="6">
        <v>1190</v>
      </c>
      <c r="C11" s="7">
        <v>1825317</v>
      </c>
      <c r="D11" s="7">
        <v>1666851</v>
      </c>
      <c r="F11" s="229" t="s">
        <v>192</v>
      </c>
      <c r="G11" s="229"/>
      <c r="H11" s="229"/>
      <c r="I11" s="21"/>
      <c r="J11" s="21"/>
      <c r="K11" s="21"/>
    </row>
    <row r="12" spans="1:11" ht="22.5" customHeight="1" thickBot="1">
      <c r="A12" s="4" t="s">
        <v>12</v>
      </c>
      <c r="B12" s="4">
        <v>1100</v>
      </c>
      <c r="C12" s="5">
        <v>838174064</v>
      </c>
      <c r="D12" s="5">
        <v>760785202</v>
      </c>
      <c r="F12" s="37" t="s">
        <v>107</v>
      </c>
      <c r="G12" s="37" t="s">
        <v>108</v>
      </c>
      <c r="H12" s="63">
        <f>C18+C17</f>
        <v>92217674</v>
      </c>
      <c r="I12" s="63">
        <f>D18+D17</f>
        <v>169783318</v>
      </c>
      <c r="J12" s="62">
        <f>H12-I12</f>
        <v>-77565644</v>
      </c>
      <c r="K12" s="21"/>
    </row>
    <row r="13" spans="1:11" ht="26.25" thickBot="1">
      <c r="A13" s="227" t="s">
        <v>13</v>
      </c>
      <c r="B13" s="228"/>
      <c r="C13" s="228"/>
      <c r="D13" s="228"/>
      <c r="F13" s="37" t="s">
        <v>109</v>
      </c>
      <c r="G13" s="37" t="s">
        <v>110</v>
      </c>
      <c r="H13" s="63">
        <f>C16+C19</f>
        <v>469086845</v>
      </c>
      <c r="I13" s="63">
        <f>D16+D19</f>
        <v>345661157</v>
      </c>
      <c r="J13" s="62">
        <f t="shared" ref="J13:J19" si="0">H13-I13</f>
        <v>123425688</v>
      </c>
      <c r="K13" s="21"/>
    </row>
    <row r="14" spans="1:11" ht="26.25" thickBot="1">
      <c r="A14" s="4" t="s">
        <v>14</v>
      </c>
      <c r="B14" s="4">
        <v>1210</v>
      </c>
      <c r="C14" s="5">
        <v>11066020</v>
      </c>
      <c r="D14" s="5">
        <v>6973545</v>
      </c>
      <c r="F14" s="37" t="s">
        <v>111</v>
      </c>
      <c r="G14" s="37" t="s">
        <v>112</v>
      </c>
      <c r="H14" s="64">
        <f>C14+C15</f>
        <v>11539093</v>
      </c>
      <c r="I14" s="64">
        <f>D14+D15</f>
        <v>7779420</v>
      </c>
      <c r="J14" s="62">
        <f t="shared" si="0"/>
        <v>3759673</v>
      </c>
      <c r="K14" s="21"/>
    </row>
    <row r="15" spans="1:11" ht="26.25" thickBot="1">
      <c r="A15" s="6" t="s">
        <v>15</v>
      </c>
      <c r="B15" s="6">
        <v>1220</v>
      </c>
      <c r="C15" s="7">
        <v>473073</v>
      </c>
      <c r="D15" s="7">
        <v>805875</v>
      </c>
      <c r="F15" s="37" t="s">
        <v>113</v>
      </c>
      <c r="G15" s="37" t="s">
        <v>114</v>
      </c>
      <c r="H15" s="63">
        <f>C12</f>
        <v>838174064</v>
      </c>
      <c r="I15" s="63">
        <f>D12</f>
        <v>760785202</v>
      </c>
      <c r="J15" s="62">
        <f t="shared" si="0"/>
        <v>77388862</v>
      </c>
      <c r="K15" s="21"/>
    </row>
    <row r="16" spans="1:11" ht="26.25" thickBot="1">
      <c r="A16" s="4" t="s">
        <v>16</v>
      </c>
      <c r="B16" s="4">
        <v>1230</v>
      </c>
      <c r="C16" s="5">
        <v>469036062</v>
      </c>
      <c r="D16" s="5">
        <v>345637770</v>
      </c>
      <c r="F16" s="37" t="s">
        <v>115</v>
      </c>
      <c r="G16" s="37" t="s">
        <v>116</v>
      </c>
      <c r="H16" s="63">
        <f>C36</f>
        <v>86960897</v>
      </c>
      <c r="I16" s="63">
        <f>D36</f>
        <v>97840545</v>
      </c>
      <c r="J16" s="62">
        <f t="shared" si="0"/>
        <v>-10879648</v>
      </c>
      <c r="K16" s="21"/>
    </row>
    <row r="17" spans="1:11" ht="26.25" thickBot="1">
      <c r="A17" s="6" t="s">
        <v>17</v>
      </c>
      <c r="B17" s="6">
        <v>1240</v>
      </c>
      <c r="C17" s="7">
        <v>78813117</v>
      </c>
      <c r="D17" s="7">
        <v>140338151</v>
      </c>
      <c r="F17" s="37" t="s">
        <v>117</v>
      </c>
      <c r="G17" s="37" t="s">
        <v>118</v>
      </c>
      <c r="H17" s="63">
        <f>C35+C39</f>
        <v>83951329</v>
      </c>
      <c r="I17" s="63">
        <f>D35+D39</f>
        <v>50278086</v>
      </c>
      <c r="J17" s="62">
        <f t="shared" si="0"/>
        <v>33673243</v>
      </c>
      <c r="K17" s="21"/>
    </row>
    <row r="18" spans="1:11" ht="22.5" customHeight="1" thickBot="1">
      <c r="A18" s="4" t="s">
        <v>18</v>
      </c>
      <c r="B18" s="4">
        <v>1250</v>
      </c>
      <c r="C18" s="5">
        <v>13404557</v>
      </c>
      <c r="D18" s="5">
        <v>29445167</v>
      </c>
      <c r="F18" s="37" t="s">
        <v>119</v>
      </c>
      <c r="G18" s="37" t="s">
        <v>120</v>
      </c>
      <c r="H18" s="64">
        <f>C33</f>
        <v>68208771</v>
      </c>
      <c r="I18" s="64">
        <f>D33</f>
        <v>128637844</v>
      </c>
      <c r="J18" s="62">
        <f t="shared" si="0"/>
        <v>-60429073</v>
      </c>
      <c r="K18" s="21"/>
    </row>
    <row r="19" spans="1:11" ht="15.75" thickBot="1">
      <c r="A19" s="6" t="s">
        <v>19</v>
      </c>
      <c r="B19" s="6">
        <v>1260</v>
      </c>
      <c r="C19" s="7">
        <v>50783</v>
      </c>
      <c r="D19" s="7">
        <v>23387</v>
      </c>
      <c r="F19" s="37" t="s">
        <v>121</v>
      </c>
      <c r="G19" s="37" t="s">
        <v>122</v>
      </c>
      <c r="H19" s="63">
        <f>C29+C37</f>
        <v>1169046409</v>
      </c>
      <c r="I19" s="63">
        <f>D29+D37</f>
        <v>1004448178</v>
      </c>
      <c r="J19" s="62">
        <f t="shared" si="0"/>
        <v>164598231</v>
      </c>
      <c r="K19" s="21"/>
    </row>
    <row r="20" spans="1:11" ht="26.25" thickBot="1">
      <c r="A20" s="4" t="s">
        <v>20</v>
      </c>
      <c r="B20" s="4">
        <v>1200</v>
      </c>
      <c r="C20" s="5">
        <v>572843612</v>
      </c>
      <c r="D20" s="5">
        <v>523223895</v>
      </c>
      <c r="F20" s="37" t="s">
        <v>123</v>
      </c>
      <c r="G20" s="37" t="s">
        <v>124</v>
      </c>
      <c r="H20" s="230" t="s">
        <v>259</v>
      </c>
      <c r="I20" s="231"/>
      <c r="J20" s="21"/>
      <c r="K20" s="21"/>
    </row>
    <row r="21" spans="1:11" ht="15.75" thickBot="1">
      <c r="A21" s="11" t="s">
        <v>21</v>
      </c>
      <c r="B21" s="11">
        <v>1600</v>
      </c>
      <c r="C21" s="12">
        <v>1411017676</v>
      </c>
      <c r="D21" s="12">
        <v>1284009097</v>
      </c>
      <c r="F21" s="229" t="s">
        <v>193</v>
      </c>
      <c r="G21" s="229"/>
      <c r="H21" s="229"/>
      <c r="I21" s="21"/>
      <c r="J21" s="21"/>
      <c r="K21" s="21"/>
    </row>
    <row r="22" spans="1:11" ht="26.25" thickBot="1">
      <c r="A22" s="227" t="s">
        <v>22</v>
      </c>
      <c r="B22" s="228"/>
      <c r="C22" s="228"/>
      <c r="D22" s="228"/>
      <c r="F22" s="37" t="s">
        <v>125</v>
      </c>
      <c r="G22" s="37" t="s">
        <v>126</v>
      </c>
      <c r="H22" s="67">
        <f>(C29+C37)/C41</f>
        <v>0.82851294415676757</v>
      </c>
      <c r="I22" s="67">
        <f>(D29+D37)/D41</f>
        <v>0.78227497012819058</v>
      </c>
      <c r="J22" s="66">
        <f>H22-I22</f>
        <v>4.6237974028576989E-2</v>
      </c>
      <c r="K22" s="59" t="s">
        <v>127</v>
      </c>
    </row>
    <row r="23" spans="1:11" ht="26.25" thickBot="1">
      <c r="A23" s="227" t="s">
        <v>23</v>
      </c>
      <c r="B23" s="228"/>
      <c r="C23" s="228"/>
      <c r="D23" s="228"/>
      <c r="F23" s="37" t="s">
        <v>128</v>
      </c>
      <c r="G23" s="37" t="s">
        <v>129</v>
      </c>
      <c r="H23" s="67">
        <f>(C29+C33+C37)/C41</f>
        <v>0.87685306927366935</v>
      </c>
      <c r="I23" s="67">
        <f>(D29+D33+D37)/D41</f>
        <v>0.88245949709186522</v>
      </c>
      <c r="J23" s="66">
        <f t="shared" ref="J23:J26" si="1">H23-I23</f>
        <v>-5.6064278181958693E-3</v>
      </c>
      <c r="K23" s="59" t="s">
        <v>130</v>
      </c>
    </row>
    <row r="24" spans="1:11" ht="26.25" thickBot="1">
      <c r="A24" s="4" t="s">
        <v>24</v>
      </c>
      <c r="B24" s="4">
        <v>1310</v>
      </c>
      <c r="C24" s="5">
        <v>303631</v>
      </c>
      <c r="D24" s="5">
        <v>303631</v>
      </c>
      <c r="F24" s="59" t="s">
        <v>131</v>
      </c>
      <c r="G24" s="59" t="s">
        <v>132</v>
      </c>
      <c r="H24" s="67">
        <f>(C33+C40-C37)/C41</f>
        <v>0.1714870558432324</v>
      </c>
      <c r="I24" s="67">
        <f>(D33+D40-D37)/D41</f>
        <v>0.21772502987180939</v>
      </c>
      <c r="J24" s="66">
        <f t="shared" si="1"/>
        <v>-4.6237974028576989E-2</v>
      </c>
      <c r="K24" s="59" t="s">
        <v>133</v>
      </c>
    </row>
    <row r="25" spans="1:11" ht="39" thickBot="1">
      <c r="A25" s="6" t="s">
        <v>25</v>
      </c>
      <c r="B25" s="6">
        <v>1320</v>
      </c>
      <c r="C25" s="8">
        <v>-62</v>
      </c>
      <c r="D25" s="10" t="s">
        <v>8</v>
      </c>
      <c r="F25" s="59" t="s">
        <v>134</v>
      </c>
      <c r="G25" s="37" t="s">
        <v>135</v>
      </c>
      <c r="H25" s="61">
        <f>C21-C33-C35-C36-C39</f>
        <v>1171896679</v>
      </c>
      <c r="I25" s="61">
        <f>D21-D33-D35-D36</f>
        <v>1007252622</v>
      </c>
      <c r="J25" s="29">
        <f t="shared" si="1"/>
        <v>164644057</v>
      </c>
      <c r="K25" s="59" t="s">
        <v>136</v>
      </c>
    </row>
    <row r="26" spans="1:11" ht="39" thickBot="1">
      <c r="A26" s="4" t="s">
        <v>26</v>
      </c>
      <c r="B26" s="4">
        <v>1350</v>
      </c>
      <c r="C26" s="5">
        <v>23348870</v>
      </c>
      <c r="D26" s="5">
        <v>23348870</v>
      </c>
      <c r="F26" s="59" t="s">
        <v>137</v>
      </c>
      <c r="G26" s="59" t="s">
        <v>138</v>
      </c>
      <c r="H26" s="61">
        <f>C20-C35-C36</f>
        <v>401931386</v>
      </c>
      <c r="I26" s="61">
        <f>D20-D35-D36</f>
        <v>375105264</v>
      </c>
      <c r="J26" s="29">
        <f t="shared" si="1"/>
        <v>26826122</v>
      </c>
      <c r="K26" s="59" t="s">
        <v>136</v>
      </c>
    </row>
    <row r="27" spans="1:11" ht="37.5" customHeight="1" thickBot="1">
      <c r="A27" s="6" t="s">
        <v>27</v>
      </c>
      <c r="B27" s="6">
        <v>1360</v>
      </c>
      <c r="C27" s="7">
        <v>15182</v>
      </c>
      <c r="D27" s="7">
        <v>15182</v>
      </c>
      <c r="F27" s="59" t="s">
        <v>139</v>
      </c>
      <c r="G27" s="37" t="s">
        <v>140</v>
      </c>
      <c r="H27" s="61">
        <f>C29+C33+C37-C12</f>
        <v>399081116</v>
      </c>
      <c r="I27" s="61">
        <f>D29+D33+D37-D12</f>
        <v>372300820</v>
      </c>
      <c r="J27" s="62">
        <f>H27-I27</f>
        <v>26780296</v>
      </c>
      <c r="K27" s="59" t="s">
        <v>136</v>
      </c>
    </row>
    <row r="28" spans="1:11" ht="57" customHeight="1" thickBot="1">
      <c r="A28" s="4" t="s">
        <v>28</v>
      </c>
      <c r="B28" s="4">
        <v>1370</v>
      </c>
      <c r="C28" s="5">
        <v>1142850623</v>
      </c>
      <c r="D28" s="5">
        <v>980624363</v>
      </c>
      <c r="F28" s="37" t="s">
        <v>141</v>
      </c>
      <c r="G28" s="59" t="s">
        <v>142</v>
      </c>
      <c r="H28" s="67">
        <f>H27/C20</f>
        <v>0.6966667824166991</v>
      </c>
      <c r="I28" s="67">
        <f>I27/D20</f>
        <v>0.71155163890211859</v>
      </c>
      <c r="J28" s="95">
        <f t="shared" ref="J28:J33" si="2">H28-I28</f>
        <v>-1.4884856485419484E-2</v>
      </c>
      <c r="K28" s="59" t="s">
        <v>143</v>
      </c>
    </row>
    <row r="29" spans="1:11" ht="51.75" thickBot="1">
      <c r="A29" s="6" t="s">
        <v>29</v>
      </c>
      <c r="B29" s="6">
        <v>1300</v>
      </c>
      <c r="C29" s="7">
        <v>1166518244</v>
      </c>
      <c r="D29" s="7">
        <v>1004292046</v>
      </c>
      <c r="F29" s="37" t="s">
        <v>144</v>
      </c>
      <c r="G29" s="59" t="s">
        <v>145</v>
      </c>
      <c r="H29" s="94">
        <f>H27/C14</f>
        <v>36.063653960502513</v>
      </c>
      <c r="I29" s="94">
        <f>I27/D14</f>
        <v>53.387598416587259</v>
      </c>
      <c r="J29" s="95">
        <f t="shared" si="2"/>
        <v>-17.323944456084746</v>
      </c>
      <c r="K29" s="59" t="s">
        <v>146</v>
      </c>
    </row>
    <row r="30" spans="1:11" ht="39" thickBot="1">
      <c r="A30" s="227" t="s">
        <v>30</v>
      </c>
      <c r="B30" s="228"/>
      <c r="C30" s="228"/>
      <c r="D30" s="228"/>
      <c r="F30" s="37" t="s">
        <v>147</v>
      </c>
      <c r="G30" s="37" t="s">
        <v>148</v>
      </c>
      <c r="H30" s="67">
        <f>H27/(C29+C33+C37)</f>
        <v>0.32255360288732032</v>
      </c>
      <c r="I30" s="67">
        <f>I27/(D29+D33+D37)</f>
        <v>0.32857242325066827</v>
      </c>
      <c r="J30" s="95">
        <f t="shared" si="2"/>
        <v>-6.0188203633479431E-3</v>
      </c>
      <c r="K30" s="59" t="s">
        <v>149</v>
      </c>
    </row>
    <row r="31" spans="1:11" ht="39" thickBot="1">
      <c r="A31" s="6" t="s">
        <v>31</v>
      </c>
      <c r="B31" s="6">
        <v>1410</v>
      </c>
      <c r="C31" s="7">
        <v>67255600</v>
      </c>
      <c r="D31" s="7">
        <v>128285140</v>
      </c>
      <c r="F31" s="37" t="s">
        <v>150</v>
      </c>
      <c r="G31" s="37" t="s">
        <v>151</v>
      </c>
      <c r="H31" s="94">
        <f>C12/(C29+C33+C37)</f>
        <v>0.67744639711267973</v>
      </c>
      <c r="I31" s="94">
        <f>D12/(D29+D33+D37)</f>
        <v>0.67142757674933173</v>
      </c>
      <c r="J31" s="95">
        <f t="shared" si="2"/>
        <v>6.0188203633479986E-3</v>
      </c>
      <c r="K31" s="59" t="s">
        <v>143</v>
      </c>
    </row>
    <row r="32" spans="1:11" ht="39" thickBot="1">
      <c r="A32" s="13" t="s">
        <v>32</v>
      </c>
      <c r="B32" s="13">
        <v>1420</v>
      </c>
      <c r="C32" s="14">
        <v>953171</v>
      </c>
      <c r="D32" s="14">
        <v>352704</v>
      </c>
      <c r="F32" s="59" t="s">
        <v>152</v>
      </c>
      <c r="G32" s="37" t="s">
        <v>153</v>
      </c>
      <c r="H32" s="67">
        <f>(C33+C40-C37)/(C29+C37)</f>
        <v>0.20698174609422199</v>
      </c>
      <c r="I32" s="67">
        <f>(D33+D40-D37)/(D29+D37)</f>
        <v>0.27832288924715437</v>
      </c>
      <c r="J32" s="95">
        <f t="shared" si="2"/>
        <v>-7.1341143152932385E-2</v>
      </c>
      <c r="K32" s="59" t="s">
        <v>154</v>
      </c>
    </row>
    <row r="33" spans="1:11" ht="51.75" thickBot="1">
      <c r="A33" s="6" t="s">
        <v>33</v>
      </c>
      <c r="B33" s="6">
        <v>1400</v>
      </c>
      <c r="C33" s="7">
        <v>68208771</v>
      </c>
      <c r="D33" s="7">
        <v>128637844</v>
      </c>
      <c r="F33" s="37" t="s">
        <v>155</v>
      </c>
      <c r="G33" s="59" t="s">
        <v>156</v>
      </c>
      <c r="H33" s="96">
        <f>(C35+C36)/C61</f>
        <v>0.53691496955294171</v>
      </c>
      <c r="I33" s="96">
        <f>(D35+D36)/D61</f>
        <v>0.39332551187578252</v>
      </c>
      <c r="J33" s="95">
        <f t="shared" si="2"/>
        <v>0.14358945767715919</v>
      </c>
      <c r="K33" s="37" t="s">
        <v>157</v>
      </c>
    </row>
    <row r="34" spans="1:11" ht="15.75" thickBot="1">
      <c r="A34" s="227" t="s">
        <v>34</v>
      </c>
      <c r="B34" s="228"/>
      <c r="C34" s="228"/>
      <c r="D34" s="228"/>
      <c r="F34" s="226" t="s">
        <v>194</v>
      </c>
      <c r="G34" s="226"/>
      <c r="H34" s="226"/>
      <c r="I34" s="21"/>
      <c r="J34" s="21"/>
      <c r="K34" s="21"/>
    </row>
    <row r="35" spans="1:11" ht="15.75" thickBot="1">
      <c r="A35" s="6" t="s">
        <v>31</v>
      </c>
      <c r="B35" s="6">
        <v>1510</v>
      </c>
      <c r="C35" s="7">
        <v>83951329</v>
      </c>
      <c r="D35" s="7">
        <v>50278086</v>
      </c>
      <c r="F35" s="59" t="s">
        <v>158</v>
      </c>
      <c r="G35" s="59" t="s">
        <v>159</v>
      </c>
      <c r="H35" s="97">
        <f>365*C14/C45</f>
        <v>5.5350324174407346</v>
      </c>
      <c r="I35" s="97">
        <f>365*D14/D45</f>
        <v>5.2180510737830081</v>
      </c>
      <c r="J35" s="93">
        <f>H35-I35</f>
        <v>0.31698134365772646</v>
      </c>
      <c r="K35" s="21"/>
    </row>
    <row r="36" spans="1:11" ht="15.75" thickBot="1">
      <c r="A36" s="4" t="s">
        <v>35</v>
      </c>
      <c r="B36" s="4">
        <v>1520</v>
      </c>
      <c r="C36" s="5">
        <v>86960897</v>
      </c>
      <c r="D36" s="5">
        <v>97840545</v>
      </c>
      <c r="F36" s="59" t="s">
        <v>160</v>
      </c>
      <c r="G36" s="59" t="s">
        <v>161</v>
      </c>
      <c r="H36" s="97">
        <f>365*C15/C45</f>
        <v>0.23662295846347112</v>
      </c>
      <c r="I36" s="97">
        <f>365*D15/D45</f>
        <v>0.60300706585888264</v>
      </c>
      <c r="J36" s="93">
        <f>H36-I36</f>
        <v>-0.3663841073954115</v>
      </c>
      <c r="K36" s="21"/>
    </row>
    <row r="37" spans="1:11" ht="39" thickBot="1">
      <c r="A37" s="6" t="s">
        <v>36</v>
      </c>
      <c r="B37" s="6">
        <v>1530</v>
      </c>
      <c r="C37" s="7">
        <v>2528165</v>
      </c>
      <c r="D37" s="7">
        <v>156132</v>
      </c>
      <c r="F37" s="37" t="s">
        <v>162</v>
      </c>
      <c r="G37" s="59" t="s">
        <v>163</v>
      </c>
      <c r="H37" s="97">
        <f>365*C16/C45</f>
        <v>234.6037516757373</v>
      </c>
      <c r="I37" s="97">
        <f>365*D16/D45</f>
        <v>258.62822092471828</v>
      </c>
      <c r="J37" s="93">
        <f>H37-I37</f>
        <v>-24.024469248980978</v>
      </c>
      <c r="K37" s="21"/>
    </row>
    <row r="38" spans="1:11" ht="26.25" thickBot="1">
      <c r="A38" s="4" t="s">
        <v>37</v>
      </c>
      <c r="B38" s="4">
        <v>1540</v>
      </c>
      <c r="C38" s="5">
        <v>2850270</v>
      </c>
      <c r="D38" s="5">
        <v>2804444</v>
      </c>
      <c r="F38" s="59" t="s">
        <v>164</v>
      </c>
      <c r="G38" s="59" t="s">
        <v>165</v>
      </c>
      <c r="H38" s="59"/>
      <c r="I38" s="21"/>
      <c r="J38" s="21"/>
      <c r="K38" s="21"/>
    </row>
    <row r="39" spans="1:11" ht="39" thickBot="1">
      <c r="A39" s="6" t="s">
        <v>38</v>
      </c>
      <c r="B39" s="6">
        <v>1550</v>
      </c>
      <c r="C39" s="10"/>
      <c r="D39" s="10"/>
      <c r="F39" s="37" t="s">
        <v>166</v>
      </c>
      <c r="G39" s="59" t="s">
        <v>167</v>
      </c>
      <c r="H39" s="59"/>
      <c r="I39" s="21"/>
      <c r="J39" s="21"/>
      <c r="K39" s="21"/>
    </row>
    <row r="40" spans="1:11" ht="35.25" customHeight="1" thickBot="1">
      <c r="A40" s="4" t="s">
        <v>39</v>
      </c>
      <c r="B40" s="4">
        <v>1500</v>
      </c>
      <c r="C40" s="5">
        <v>176290661</v>
      </c>
      <c r="D40" s="5">
        <v>151079207</v>
      </c>
      <c r="F40" s="37" t="s">
        <v>168</v>
      </c>
      <c r="G40" s="59" t="s">
        <v>169</v>
      </c>
      <c r="H40" s="59"/>
      <c r="I40" s="21"/>
      <c r="J40" s="21"/>
      <c r="K40" s="21"/>
    </row>
    <row r="41" spans="1:11" ht="35.25" customHeight="1" thickBot="1">
      <c r="A41" s="11" t="s">
        <v>21</v>
      </c>
      <c r="B41" s="11">
        <v>1700</v>
      </c>
      <c r="C41" s="12">
        <v>1411017676</v>
      </c>
      <c r="D41" s="12">
        <v>1284009097</v>
      </c>
      <c r="F41" s="59" t="s">
        <v>170</v>
      </c>
      <c r="G41" s="37" t="s">
        <v>171</v>
      </c>
      <c r="H41" s="97">
        <f>365*(C35+C36)/C45</f>
        <v>85.487348789082006</v>
      </c>
      <c r="I41" s="97">
        <f>365*(D35+D36)/D45</f>
        <v>110.83180527792094</v>
      </c>
      <c r="J41" s="93">
        <f>H41-I41</f>
        <v>-25.344456488838929</v>
      </c>
      <c r="K41" s="21"/>
    </row>
    <row r="42" spans="1:11" ht="38.25">
      <c r="F42" s="37" t="s">
        <v>172</v>
      </c>
      <c r="G42" s="59" t="s">
        <v>173</v>
      </c>
      <c r="H42" s="97">
        <f>365*C36/C45</f>
        <v>43.496341407726064</v>
      </c>
      <c r="I42" s="97">
        <f>365*D36/D45</f>
        <v>73.210535086066656</v>
      </c>
      <c r="J42" s="93">
        <f>H42-I42</f>
        <v>-29.714193678340592</v>
      </c>
      <c r="K42" s="21"/>
    </row>
    <row r="43" spans="1:11" ht="39" thickBot="1">
      <c r="F43" s="37" t="s">
        <v>174</v>
      </c>
      <c r="G43" s="59" t="s">
        <v>175</v>
      </c>
      <c r="H43" s="59"/>
      <c r="I43" s="21"/>
      <c r="J43" s="21"/>
      <c r="K43" s="21"/>
    </row>
    <row r="44" spans="1:11" ht="39" thickBot="1">
      <c r="A44" s="2" t="s">
        <v>1</v>
      </c>
      <c r="B44" s="2" t="s">
        <v>2</v>
      </c>
      <c r="C44" s="2">
        <v>2021</v>
      </c>
      <c r="D44" s="2">
        <v>2020</v>
      </c>
      <c r="F44" s="37" t="s">
        <v>176</v>
      </c>
      <c r="G44" s="59" t="s">
        <v>177</v>
      </c>
      <c r="H44" s="59"/>
      <c r="I44" s="21"/>
      <c r="J44" s="21"/>
      <c r="K44" s="21"/>
    </row>
    <row r="45" spans="1:11" ht="26.25" thickBot="1">
      <c r="A45" s="4" t="s">
        <v>40</v>
      </c>
      <c r="B45" s="4">
        <v>2110</v>
      </c>
      <c r="C45" s="5">
        <v>729733269</v>
      </c>
      <c r="D45" s="5">
        <v>487795901</v>
      </c>
      <c r="F45" s="59" t="s">
        <v>178</v>
      </c>
      <c r="G45" s="37" t="s">
        <v>179</v>
      </c>
      <c r="H45" s="97">
        <f>H35+H37</f>
        <v>240.13878409317803</v>
      </c>
      <c r="I45" s="97">
        <f>I35+I37</f>
        <v>263.84627199850127</v>
      </c>
      <c r="J45" s="93">
        <f>H45-I45</f>
        <v>-23.707487905323234</v>
      </c>
      <c r="K45" s="21"/>
    </row>
    <row r="46" spans="1:11" ht="39" thickBot="1">
      <c r="A46" s="6" t="s">
        <v>41</v>
      </c>
      <c r="B46" s="6">
        <v>2120</v>
      </c>
      <c r="C46" s="7">
        <v>-424650570</v>
      </c>
      <c r="D46" s="7">
        <v>-270492526</v>
      </c>
      <c r="F46" s="59" t="s">
        <v>180</v>
      </c>
      <c r="G46" s="37" t="s">
        <v>181</v>
      </c>
      <c r="H46" s="97">
        <f>H45-H42</f>
        <v>196.64244268545195</v>
      </c>
      <c r="I46" s="97">
        <f>I45-I42</f>
        <v>190.6357369124346</v>
      </c>
      <c r="J46" s="93">
        <f>H46-I46</f>
        <v>6.0067057730173588</v>
      </c>
      <c r="K46" s="21"/>
    </row>
    <row r="47" spans="1:11" ht="15.75" thickBot="1">
      <c r="A47" s="4" t="s">
        <v>42</v>
      </c>
      <c r="B47" s="4">
        <v>2100</v>
      </c>
      <c r="C47" s="5">
        <v>305082699</v>
      </c>
      <c r="D47" s="5">
        <v>217303375</v>
      </c>
      <c r="F47" s="226" t="s">
        <v>195</v>
      </c>
      <c r="G47" s="226"/>
      <c r="H47" s="226"/>
      <c r="I47" s="21"/>
      <c r="J47" s="21"/>
      <c r="K47" s="21"/>
    </row>
    <row r="48" spans="1:11" ht="15.75" thickBot="1">
      <c r="A48" s="6" t="s">
        <v>43</v>
      </c>
      <c r="B48" s="6">
        <v>2210</v>
      </c>
      <c r="C48" s="7">
        <v>-140077329</v>
      </c>
      <c r="D48" s="7">
        <v>-131169810</v>
      </c>
      <c r="F48" s="59" t="s">
        <v>182</v>
      </c>
      <c r="G48" s="59" t="s">
        <v>183</v>
      </c>
      <c r="H48" s="101">
        <f>C56/C21</f>
        <v>0.24264898294583803</v>
      </c>
      <c r="I48" s="101">
        <f>D56/D21</f>
        <v>0.31812531309503644</v>
      </c>
      <c r="J48" s="26">
        <f t="shared" ref="J48:J53" si="3">H48-I48</f>
        <v>-7.5476330149198412E-2</v>
      </c>
      <c r="K48" s="21"/>
    </row>
    <row r="49" spans="1:11" ht="26.25" thickBot="1">
      <c r="A49" s="4" t="s">
        <v>44</v>
      </c>
      <c r="B49" s="4">
        <v>2220</v>
      </c>
      <c r="C49" s="5">
        <v>-14480486</v>
      </c>
      <c r="D49" s="5">
        <v>-20387662</v>
      </c>
      <c r="F49" s="37" t="s">
        <v>184</v>
      </c>
      <c r="G49" s="59" t="s">
        <v>185</v>
      </c>
      <c r="H49" s="101">
        <f>C61/C29</f>
        <v>0.27288274970176979</v>
      </c>
      <c r="I49" s="101">
        <f>D61/D29</f>
        <v>0.3749708867055988</v>
      </c>
      <c r="J49" s="26">
        <f t="shared" si="3"/>
        <v>-0.10208813700382902</v>
      </c>
      <c r="K49" s="21"/>
    </row>
    <row r="50" spans="1:11" ht="26.25" thickBot="1">
      <c r="A50" s="6" t="s">
        <v>45</v>
      </c>
      <c r="B50" s="6">
        <v>2200</v>
      </c>
      <c r="C50" s="7">
        <v>150524884</v>
      </c>
      <c r="D50" s="7">
        <v>65745903</v>
      </c>
      <c r="F50" s="59" t="s">
        <v>186</v>
      </c>
      <c r="G50" s="37" t="s">
        <v>187</v>
      </c>
      <c r="H50" s="101">
        <f>C56/C20</f>
        <v>0.5976884385681166</v>
      </c>
      <c r="I50" s="101">
        <f>D56/D20</f>
        <v>0.78069025498156963</v>
      </c>
      <c r="J50" s="26">
        <f t="shared" si="3"/>
        <v>-0.18300181641345303</v>
      </c>
      <c r="K50" s="21"/>
    </row>
    <row r="51" spans="1:11" ht="15.75" thickBot="1">
      <c r="A51" s="4" t="s">
        <v>46</v>
      </c>
      <c r="B51" s="4">
        <v>2310</v>
      </c>
      <c r="C51" s="5">
        <v>220842927</v>
      </c>
      <c r="D51" s="5">
        <v>57033843</v>
      </c>
      <c r="F51" s="59" t="s">
        <v>188</v>
      </c>
      <c r="G51" s="59" t="s">
        <v>189</v>
      </c>
      <c r="H51" s="102">
        <f>C50/C45</f>
        <v>0.20627384058599088</v>
      </c>
      <c r="I51" s="102">
        <f>D50/D45</f>
        <v>0.13478158152870579</v>
      </c>
      <c r="J51" s="26">
        <f t="shared" si="3"/>
        <v>7.1492259057285096E-2</v>
      </c>
      <c r="K51" s="21"/>
    </row>
    <row r="52" spans="1:11" ht="26.25" thickBot="1">
      <c r="A52" s="6" t="s">
        <v>47</v>
      </c>
      <c r="B52" s="6">
        <v>2320</v>
      </c>
      <c r="C52" s="7">
        <v>10227869</v>
      </c>
      <c r="D52" s="7">
        <v>9493001</v>
      </c>
      <c r="F52" s="37" t="s">
        <v>190</v>
      </c>
      <c r="G52" s="59" t="s">
        <v>191</v>
      </c>
      <c r="H52" s="101">
        <f>C56/(-C46)</f>
        <v>0.806267619044995</v>
      </c>
      <c r="I52" s="101">
        <f>D56/(-D46)</f>
        <v>1.5101186049037081</v>
      </c>
      <c r="J52" s="26">
        <f t="shared" si="3"/>
        <v>-0.70385098585871309</v>
      </c>
      <c r="K52" s="21"/>
    </row>
    <row r="53" spans="1:11" ht="77.25" thickBot="1">
      <c r="A53" s="4" t="s">
        <v>48</v>
      </c>
      <c r="B53" s="4">
        <v>2330</v>
      </c>
      <c r="C53" s="5">
        <v>-4712866</v>
      </c>
      <c r="D53" s="5">
        <v>-6637518</v>
      </c>
      <c r="F53" s="120" t="s">
        <v>383</v>
      </c>
      <c r="G53" s="120" t="s">
        <v>384</v>
      </c>
      <c r="H53" s="121">
        <f>(C35+C36)/(C45/12)</f>
        <v>2.8105429738876273</v>
      </c>
      <c r="I53" s="66">
        <f>(D35+D36)/(D45/12)</f>
        <v>3.6437853790001409</v>
      </c>
      <c r="J53" s="26">
        <f t="shared" si="3"/>
        <v>-0.83324240511251357</v>
      </c>
    </row>
    <row r="54" spans="1:11" ht="15.75" customHeight="1" thickBot="1">
      <c r="A54" s="6" t="s">
        <v>49</v>
      </c>
      <c r="B54" s="6">
        <v>2340</v>
      </c>
      <c r="C54" s="7">
        <v>100006311</v>
      </c>
      <c r="D54" s="7">
        <v>444138364</v>
      </c>
    </row>
    <row r="55" spans="1:11" ht="15.75" thickBot="1">
      <c r="A55" s="4" t="s">
        <v>50</v>
      </c>
      <c r="B55" s="4">
        <v>2350</v>
      </c>
      <c r="C55" s="5">
        <v>-134507121</v>
      </c>
      <c r="D55" s="5">
        <v>-161297797</v>
      </c>
    </row>
    <row r="56" spans="1:11" ht="15.75" thickBot="1">
      <c r="A56" s="6" t="s">
        <v>51</v>
      </c>
      <c r="B56" s="6">
        <v>2300</v>
      </c>
      <c r="C56" s="7">
        <v>342382004</v>
      </c>
      <c r="D56" s="7">
        <v>408475796</v>
      </c>
    </row>
    <row r="57" spans="1:11" ht="15.75" thickBot="1">
      <c r="A57" s="4" t="s">
        <v>52</v>
      </c>
      <c r="B57" s="4">
        <v>2410</v>
      </c>
      <c r="C57" s="5">
        <v>-24062946</v>
      </c>
      <c r="D57" s="5">
        <v>-31900335</v>
      </c>
    </row>
    <row r="58" spans="1:11" ht="15.75" thickBot="1">
      <c r="A58" s="15" t="s">
        <v>53</v>
      </c>
      <c r="B58" s="15">
        <v>2411</v>
      </c>
      <c r="C58" s="16">
        <v>-23470096</v>
      </c>
      <c r="D58" s="16">
        <v>-31892194</v>
      </c>
    </row>
    <row r="59" spans="1:11" ht="15.75" thickBot="1">
      <c r="A59" s="4" t="s">
        <v>54</v>
      </c>
      <c r="B59" s="4">
        <v>2412</v>
      </c>
      <c r="C59" s="5">
        <v>-592850</v>
      </c>
      <c r="D59" s="5">
        <v>-8141</v>
      </c>
    </row>
    <row r="60" spans="1:11" ht="15.75" thickBot="1">
      <c r="A60" s="6" t="s">
        <v>55</v>
      </c>
      <c r="B60" s="6">
        <v>2460</v>
      </c>
      <c r="C60" s="7">
        <v>3648</v>
      </c>
      <c r="D60" s="7">
        <v>4818</v>
      </c>
    </row>
    <row r="61" spans="1:11" ht="15.75" thickBot="1">
      <c r="A61" s="4" t="s">
        <v>56</v>
      </c>
      <c r="B61" s="4">
        <v>2400</v>
      </c>
      <c r="C61" s="5">
        <v>318322706</v>
      </c>
      <c r="D61" s="5">
        <v>376580279</v>
      </c>
    </row>
    <row r="62" spans="1:11" ht="15.75" thickBot="1">
      <c r="A62" s="227" t="s">
        <v>57</v>
      </c>
      <c r="B62" s="228"/>
      <c r="C62" s="228"/>
      <c r="D62" s="228"/>
    </row>
    <row r="63" spans="1:11" ht="15.75" thickBot="1">
      <c r="A63" s="4" t="s">
        <v>58</v>
      </c>
      <c r="B63" s="4">
        <v>2500</v>
      </c>
      <c r="C63" s="5">
        <v>318322706</v>
      </c>
      <c r="D63" s="5">
        <v>376580279</v>
      </c>
    </row>
  </sheetData>
  <mergeCells count="14">
    <mergeCell ref="A4:D4"/>
    <mergeCell ref="A5:D5"/>
    <mergeCell ref="A13:D13"/>
    <mergeCell ref="A22:D22"/>
    <mergeCell ref="A23:D23"/>
    <mergeCell ref="F47:H47"/>
    <mergeCell ref="A34:D34"/>
    <mergeCell ref="A62:D62"/>
    <mergeCell ref="F7:H7"/>
    <mergeCell ref="F11:H11"/>
    <mergeCell ref="F21:H21"/>
    <mergeCell ref="F34:H34"/>
    <mergeCell ref="A30:D30"/>
    <mergeCell ref="H20:I2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49"/>
  <sheetViews>
    <sheetView topLeftCell="A25" workbookViewId="0">
      <selection activeCell="C46" sqref="C46"/>
    </sheetView>
  </sheetViews>
  <sheetFormatPr defaultRowHeight="15"/>
  <cols>
    <col min="1" max="1" width="55.42578125" customWidth="1"/>
    <col min="3" max="3" width="18.7109375" customWidth="1"/>
    <col min="4" max="4" width="19.85546875" customWidth="1"/>
  </cols>
  <sheetData>
    <row r="2" spans="1:4" ht="18.75" thickBot="1">
      <c r="A2" s="1" t="s">
        <v>59</v>
      </c>
    </row>
    <row r="3" spans="1:4" ht="15.75" thickBot="1">
      <c r="A3" s="2" t="s">
        <v>1</v>
      </c>
      <c r="B3" s="2" t="s">
        <v>2</v>
      </c>
      <c r="C3" s="2">
        <v>2021</v>
      </c>
      <c r="D3" s="2">
        <v>2020</v>
      </c>
    </row>
    <row r="4" spans="1:4" ht="15.75" thickBot="1">
      <c r="A4" s="238" t="s">
        <v>60</v>
      </c>
      <c r="B4" s="239"/>
      <c r="C4" s="239"/>
      <c r="D4" s="239"/>
    </row>
    <row r="5" spans="1:4" ht="15.75" thickBot="1">
      <c r="A5" s="6" t="s">
        <v>61</v>
      </c>
      <c r="B5" s="6">
        <v>4110</v>
      </c>
      <c r="C5" s="7">
        <v>920892104</v>
      </c>
      <c r="D5" s="7">
        <v>790042206</v>
      </c>
    </row>
    <row r="6" spans="1:4">
      <c r="A6" s="17" t="s">
        <v>62</v>
      </c>
      <c r="B6" s="240">
        <v>4111</v>
      </c>
      <c r="C6" s="242">
        <v>684037286</v>
      </c>
      <c r="D6" s="242">
        <v>501595834</v>
      </c>
    </row>
    <row r="7" spans="1:4" ht="15.75" thickBot="1">
      <c r="A7" s="18" t="s">
        <v>63</v>
      </c>
      <c r="B7" s="241"/>
      <c r="C7" s="243"/>
      <c r="D7" s="243"/>
    </row>
    <row r="8" spans="1:4" ht="24.75" thickBot="1">
      <c r="A8" s="6" t="s">
        <v>64</v>
      </c>
      <c r="B8" s="6">
        <v>4112</v>
      </c>
      <c r="C8" s="7">
        <v>228258</v>
      </c>
      <c r="D8" s="7">
        <v>131607</v>
      </c>
    </row>
    <row r="9" spans="1:4" ht="15.75" thickBot="1">
      <c r="A9" s="4" t="s">
        <v>65</v>
      </c>
      <c r="B9" s="4">
        <v>4119</v>
      </c>
      <c r="C9" s="5">
        <v>236626560</v>
      </c>
      <c r="D9" s="5">
        <v>288314765</v>
      </c>
    </row>
    <row r="10" spans="1:4" ht="15.75" thickBot="1">
      <c r="A10" s="6" t="s">
        <v>66</v>
      </c>
      <c r="B10" s="6">
        <v>4120</v>
      </c>
      <c r="C10" s="7">
        <v>-947676583</v>
      </c>
      <c r="D10" s="7">
        <v>-674020935</v>
      </c>
    </row>
    <row r="11" spans="1:4">
      <c r="A11" s="17" t="s">
        <v>62</v>
      </c>
      <c r="B11" s="240">
        <v>4121</v>
      </c>
      <c r="C11" s="242">
        <v>-555475534</v>
      </c>
      <c r="D11" s="242">
        <v>-397848645</v>
      </c>
    </row>
    <row r="12" spans="1:4" ht="24.75" thickBot="1">
      <c r="A12" s="18" t="s">
        <v>67</v>
      </c>
      <c r="B12" s="241"/>
      <c r="C12" s="243"/>
      <c r="D12" s="243"/>
    </row>
    <row r="13" spans="1:4" ht="15.75" thickBot="1">
      <c r="A13" s="6" t="s">
        <v>68</v>
      </c>
      <c r="B13" s="6">
        <v>4122</v>
      </c>
      <c r="C13" s="7">
        <v>-7952460</v>
      </c>
      <c r="D13" s="7">
        <v>-12242421</v>
      </c>
    </row>
    <row r="14" spans="1:4" ht="15.75" thickBot="1">
      <c r="A14" s="4" t="s">
        <v>69</v>
      </c>
      <c r="B14" s="4">
        <v>4123</v>
      </c>
      <c r="C14" s="5">
        <v>-5994830</v>
      </c>
      <c r="D14" s="5">
        <v>-6342771</v>
      </c>
    </row>
    <row r="15" spans="1:4" ht="15.75" thickBot="1">
      <c r="A15" s="6" t="s">
        <v>70</v>
      </c>
      <c r="B15" s="6">
        <v>4124</v>
      </c>
      <c r="C15" s="7">
        <v>-12161663</v>
      </c>
      <c r="D15" s="7">
        <v>-27641646</v>
      </c>
    </row>
    <row r="16" spans="1:4" ht="24.75" thickBot="1">
      <c r="A16" s="4" t="s">
        <v>71</v>
      </c>
      <c r="B16" s="4">
        <v>4128</v>
      </c>
      <c r="C16" s="5">
        <v>24039571</v>
      </c>
      <c r="D16" s="5">
        <v>24391948</v>
      </c>
    </row>
    <row r="17" spans="1:4" ht="15.75" thickBot="1">
      <c r="A17" s="6" t="s">
        <v>72</v>
      </c>
      <c r="B17" s="6">
        <v>4129</v>
      </c>
      <c r="C17" s="7">
        <v>-342052525</v>
      </c>
      <c r="D17" s="7">
        <v>-205553504</v>
      </c>
    </row>
    <row r="18" spans="1:4" ht="15.75" thickBot="1">
      <c r="A18" s="186" t="s">
        <v>73</v>
      </c>
      <c r="B18" s="186">
        <v>4100</v>
      </c>
      <c r="C18" s="187">
        <v>-26784479</v>
      </c>
      <c r="D18" s="187">
        <v>116021271</v>
      </c>
    </row>
    <row r="19" spans="1:4" ht="15.75" thickBot="1">
      <c r="A19" s="238" t="s">
        <v>74</v>
      </c>
      <c r="B19" s="239"/>
      <c r="C19" s="239"/>
      <c r="D19" s="239"/>
    </row>
    <row r="20" spans="1:4" ht="15.75" thickBot="1">
      <c r="A20" s="4" t="s">
        <v>61</v>
      </c>
      <c r="B20" s="4">
        <v>4210</v>
      </c>
      <c r="C20" s="5">
        <v>349941543</v>
      </c>
      <c r="D20" s="5">
        <v>109507457</v>
      </c>
    </row>
    <row r="21" spans="1:4">
      <c r="A21" s="19" t="s">
        <v>62</v>
      </c>
      <c r="B21" s="232">
        <v>4211</v>
      </c>
      <c r="C21" s="244">
        <v>14797</v>
      </c>
      <c r="D21" s="244">
        <v>6913</v>
      </c>
    </row>
    <row r="22" spans="1:4" ht="24.75" thickBot="1">
      <c r="A22" s="20" t="s">
        <v>75</v>
      </c>
      <c r="B22" s="233"/>
      <c r="C22" s="245"/>
      <c r="D22" s="245"/>
    </row>
    <row r="23" spans="1:4" ht="15.75" thickBot="1">
      <c r="A23" s="4" t="s">
        <v>76</v>
      </c>
      <c r="B23" s="4">
        <v>4212</v>
      </c>
      <c r="C23" s="5">
        <v>368284</v>
      </c>
      <c r="D23" s="9" t="s">
        <v>8</v>
      </c>
    </row>
    <row r="24" spans="1:4" ht="36.75" thickBot="1">
      <c r="A24" s="6" t="s">
        <v>77</v>
      </c>
      <c r="B24" s="6">
        <v>4213</v>
      </c>
      <c r="C24" s="7">
        <v>42370935</v>
      </c>
      <c r="D24" s="7">
        <v>43685739</v>
      </c>
    </row>
    <row r="25" spans="1:4" ht="36.75" thickBot="1">
      <c r="A25" s="4" t="s">
        <v>78</v>
      </c>
      <c r="B25" s="4">
        <v>4214</v>
      </c>
      <c r="C25" s="5">
        <v>240164663</v>
      </c>
      <c r="D25" s="5">
        <v>65814805</v>
      </c>
    </row>
    <row r="26" spans="1:4" ht="15.75" thickBot="1">
      <c r="A26" s="6" t="s">
        <v>65</v>
      </c>
      <c r="B26" s="6">
        <v>4219</v>
      </c>
      <c r="C26" s="7">
        <v>67022864</v>
      </c>
      <c r="D26" s="10" t="s">
        <v>8</v>
      </c>
    </row>
    <row r="27" spans="1:4" ht="15.75" thickBot="1">
      <c r="A27" s="4" t="s">
        <v>66</v>
      </c>
      <c r="B27" s="4">
        <v>4220</v>
      </c>
      <c r="C27" s="5">
        <v>-158882493</v>
      </c>
      <c r="D27" s="5">
        <v>-159340919</v>
      </c>
    </row>
    <row r="28" spans="1:4">
      <c r="A28" s="19" t="s">
        <v>62</v>
      </c>
      <c r="B28" s="232">
        <v>4221</v>
      </c>
      <c r="C28" s="244">
        <v>-887344</v>
      </c>
      <c r="D28" s="244">
        <v>-11095501</v>
      </c>
    </row>
    <row r="29" spans="1:4" ht="36.75" thickBot="1">
      <c r="A29" s="20" t="s">
        <v>79</v>
      </c>
      <c r="B29" s="233"/>
      <c r="C29" s="245"/>
      <c r="D29" s="245"/>
    </row>
    <row r="30" spans="1:4" ht="24.75" thickBot="1">
      <c r="A30" s="4" t="s">
        <v>80</v>
      </c>
      <c r="B30" s="4">
        <v>4222</v>
      </c>
      <c r="C30" s="5">
        <v>-3413212</v>
      </c>
      <c r="D30" s="5">
        <v>-84341</v>
      </c>
    </row>
    <row r="31" spans="1:4" ht="36.75" thickBot="1">
      <c r="A31" s="6" t="s">
        <v>81</v>
      </c>
      <c r="B31" s="6">
        <v>4223</v>
      </c>
      <c r="C31" s="7">
        <v>-154581937</v>
      </c>
      <c r="D31" s="7">
        <v>-138985741</v>
      </c>
    </row>
    <row r="32" spans="1:4" ht="15.75" thickBot="1">
      <c r="A32" s="4" t="s">
        <v>72</v>
      </c>
      <c r="B32" s="4">
        <v>4229</v>
      </c>
      <c r="C32" s="9" t="s">
        <v>8</v>
      </c>
      <c r="D32" s="5">
        <v>-9175336</v>
      </c>
    </row>
    <row r="33" spans="1:4" ht="15.75" thickBot="1">
      <c r="A33" s="6" t="s">
        <v>82</v>
      </c>
      <c r="B33" s="6">
        <v>4200</v>
      </c>
      <c r="C33" s="7">
        <v>191059050</v>
      </c>
      <c r="D33" s="7">
        <v>-49833462</v>
      </c>
    </row>
    <row r="34" spans="1:4" ht="15.75" thickBot="1">
      <c r="A34" s="238" t="s">
        <v>83</v>
      </c>
      <c r="B34" s="239"/>
      <c r="C34" s="239"/>
      <c r="D34" s="239"/>
    </row>
    <row r="35" spans="1:4" ht="15.75" thickBot="1">
      <c r="A35" s="6" t="s">
        <v>61</v>
      </c>
      <c r="B35" s="6">
        <v>4310</v>
      </c>
      <c r="C35" s="7">
        <v>30212146</v>
      </c>
      <c r="D35" s="7">
        <v>59461007</v>
      </c>
    </row>
    <row r="36" spans="1:4">
      <c r="A36" s="17" t="s">
        <v>62</v>
      </c>
      <c r="B36" s="240">
        <v>4311</v>
      </c>
      <c r="C36" s="242">
        <v>30212146</v>
      </c>
      <c r="D36" s="242">
        <v>59461007</v>
      </c>
    </row>
    <row r="37" spans="1:4" ht="15.75" thickBot="1">
      <c r="A37" s="18" t="s">
        <v>84</v>
      </c>
      <c r="B37" s="241"/>
      <c r="C37" s="243"/>
      <c r="D37" s="243"/>
    </row>
    <row r="38" spans="1:4" ht="24.75" thickBot="1">
      <c r="A38" s="6" t="s">
        <v>85</v>
      </c>
      <c r="B38" s="6">
        <v>4314</v>
      </c>
      <c r="C38" s="10" t="s">
        <v>8</v>
      </c>
      <c r="D38" s="10" t="s">
        <v>8</v>
      </c>
    </row>
    <row r="39" spans="1:4" ht="15.75" thickBot="1">
      <c r="A39" s="4" t="s">
        <v>66</v>
      </c>
      <c r="B39" s="4">
        <v>4320</v>
      </c>
      <c r="C39" s="5">
        <v>-207259391</v>
      </c>
      <c r="D39" s="5">
        <v>-105445579</v>
      </c>
    </row>
    <row r="40" spans="1:4">
      <c r="A40" s="19" t="s">
        <v>62</v>
      </c>
      <c r="B40" s="232">
        <v>4321</v>
      </c>
      <c r="C40" s="234">
        <v>-62</v>
      </c>
      <c r="D40" s="236" t="s">
        <v>8</v>
      </c>
    </row>
    <row r="41" spans="1:4" ht="36.75" thickBot="1">
      <c r="A41" s="20" t="s">
        <v>86</v>
      </c>
      <c r="B41" s="233"/>
      <c r="C41" s="235"/>
      <c r="D41" s="237"/>
    </row>
    <row r="42" spans="1:4" ht="15.75" thickBot="1">
      <c r="A42" s="4" t="s">
        <v>87</v>
      </c>
      <c r="B42" s="4">
        <v>4322</v>
      </c>
      <c r="C42" s="5">
        <v>-154332427</v>
      </c>
      <c r="D42" s="5">
        <v>-89857243</v>
      </c>
    </row>
    <row r="43" spans="1:4" ht="36.75" thickBot="1">
      <c r="A43" s="6" t="s">
        <v>88</v>
      </c>
      <c r="B43" s="6">
        <v>4323</v>
      </c>
      <c r="C43" s="7">
        <v>-52926902</v>
      </c>
      <c r="D43" s="7">
        <v>-15588336</v>
      </c>
    </row>
    <row r="44" spans="1:4" ht="15.75" thickBot="1">
      <c r="A44" s="4" t="s">
        <v>72</v>
      </c>
      <c r="B44" s="4">
        <v>4329</v>
      </c>
      <c r="C44" s="9" t="s">
        <v>8</v>
      </c>
      <c r="D44" s="9" t="s">
        <v>8</v>
      </c>
    </row>
    <row r="45" spans="1:4" ht="15.75" thickBot="1">
      <c r="A45" s="6" t="s">
        <v>89</v>
      </c>
      <c r="B45" s="6">
        <v>4300</v>
      </c>
      <c r="C45" s="7">
        <v>-177047245</v>
      </c>
      <c r="D45" s="7">
        <v>-45984572</v>
      </c>
    </row>
    <row r="46" spans="1:4" ht="15.75" thickBot="1">
      <c r="A46" s="4" t="s">
        <v>90</v>
      </c>
      <c r="B46" s="4">
        <v>4400</v>
      </c>
      <c r="C46" s="5">
        <v>-12772674</v>
      </c>
      <c r="D46" s="5">
        <v>20203237</v>
      </c>
    </row>
    <row r="47" spans="1:4" ht="24.75" thickBot="1">
      <c r="A47" s="15" t="s">
        <v>91</v>
      </c>
      <c r="B47" s="15">
        <v>4450</v>
      </c>
      <c r="C47" s="16">
        <v>29445167</v>
      </c>
      <c r="D47" s="16">
        <v>7700131</v>
      </c>
    </row>
    <row r="48" spans="1:4" ht="24.75" thickBot="1">
      <c r="A48" s="4" t="s">
        <v>92</v>
      </c>
      <c r="B48" s="4">
        <v>4500</v>
      </c>
      <c r="C48" s="5">
        <v>13404557</v>
      </c>
      <c r="D48" s="5">
        <v>29445167</v>
      </c>
    </row>
    <row r="49" spans="1:4" ht="24.75" thickBot="1">
      <c r="A49" s="6" t="s">
        <v>93</v>
      </c>
      <c r="B49" s="6">
        <v>4490</v>
      </c>
      <c r="C49" s="7">
        <v>-3267936</v>
      </c>
      <c r="D49" s="7">
        <v>1541799</v>
      </c>
    </row>
  </sheetData>
  <mergeCells count="21">
    <mergeCell ref="B11:B12"/>
    <mergeCell ref="C11:C12"/>
    <mergeCell ref="D11:D12"/>
    <mergeCell ref="A4:D4"/>
    <mergeCell ref="B6:B7"/>
    <mergeCell ref="C6:C7"/>
    <mergeCell ref="D6:D7"/>
    <mergeCell ref="B28:B29"/>
    <mergeCell ref="C28:C29"/>
    <mergeCell ref="D28:D29"/>
    <mergeCell ref="A19:D19"/>
    <mergeCell ref="B21:B22"/>
    <mergeCell ref="C21:C22"/>
    <mergeCell ref="D21:D22"/>
    <mergeCell ref="B40:B41"/>
    <mergeCell ref="C40:C41"/>
    <mergeCell ref="D40:D41"/>
    <mergeCell ref="A34:D34"/>
    <mergeCell ref="B36:B37"/>
    <mergeCell ref="C36:C37"/>
    <mergeCell ref="D36:D3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2"/>
  <sheetViews>
    <sheetView topLeftCell="A219" zoomScale="120" zoomScaleNormal="120" workbookViewId="0">
      <selection activeCell="D234" sqref="D234"/>
    </sheetView>
  </sheetViews>
  <sheetFormatPr defaultRowHeight="15"/>
  <cols>
    <col min="1" max="1" width="33" customWidth="1"/>
    <col min="2" max="2" width="17.140625" customWidth="1"/>
    <col min="3" max="3" width="24.7109375" customWidth="1"/>
    <col min="4" max="4" width="25" customWidth="1"/>
    <col min="5" max="5" width="30.85546875" customWidth="1"/>
    <col min="6" max="6" width="22.42578125" customWidth="1"/>
    <col min="7" max="7" width="20.140625" customWidth="1"/>
    <col min="8" max="8" width="19.85546875" customWidth="1"/>
  </cols>
  <sheetData>
    <row r="1" spans="1:7">
      <c r="A1" t="s">
        <v>196</v>
      </c>
    </row>
    <row r="2" spans="1:7" ht="30">
      <c r="A2" s="21" t="s">
        <v>197</v>
      </c>
      <c r="B2" s="21" t="s">
        <v>198</v>
      </c>
      <c r="C2" s="21" t="s">
        <v>199</v>
      </c>
      <c r="D2" s="21" t="s">
        <v>207</v>
      </c>
      <c r="E2" s="21" t="s">
        <v>208</v>
      </c>
      <c r="F2" s="27" t="s">
        <v>210</v>
      </c>
      <c r="G2" s="27" t="s">
        <v>209</v>
      </c>
    </row>
    <row r="3" spans="1:7">
      <c r="A3" s="21" t="s">
        <v>200</v>
      </c>
      <c r="B3" s="22">
        <v>0.2</v>
      </c>
      <c r="C3" s="23">
        <f>B3*(1-0.2)</f>
        <v>0.16000000000000003</v>
      </c>
      <c r="D3" s="21">
        <v>1.2</v>
      </c>
      <c r="E3" s="25">
        <f>C3*D3</f>
        <v>0.19200000000000003</v>
      </c>
      <c r="F3" s="21">
        <v>1</v>
      </c>
      <c r="G3" s="25">
        <f>E3*F3</f>
        <v>0.19200000000000003</v>
      </c>
    </row>
    <row r="4" spans="1:7">
      <c r="A4" s="21" t="s">
        <v>201</v>
      </c>
      <c r="B4" s="22">
        <f>B3</f>
        <v>0.2</v>
      </c>
      <c r="C4" s="23">
        <f>B4*(1-0.2)</f>
        <v>0.16000000000000003</v>
      </c>
      <c r="D4" s="21">
        <v>1.1000000000000001</v>
      </c>
      <c r="E4" s="25">
        <f t="shared" ref="E4:E5" si="0">C4*D4</f>
        <v>0.17600000000000005</v>
      </c>
      <c r="F4" s="21">
        <v>1.02</v>
      </c>
      <c r="G4" s="28">
        <f>E4*F4</f>
        <v>0.17952000000000004</v>
      </c>
    </row>
    <row r="5" spans="1:7">
      <c r="A5" s="21" t="s">
        <v>202</v>
      </c>
      <c r="B5" s="22">
        <f>B4</f>
        <v>0.2</v>
      </c>
      <c r="C5" s="26">
        <f>(1-0.2)*B9+(B5-B9)</f>
        <v>0.1658</v>
      </c>
      <c r="D5" s="21">
        <v>1</v>
      </c>
      <c r="E5" s="25">
        <f t="shared" si="0"/>
        <v>0.1658</v>
      </c>
      <c r="F5" s="21">
        <v>1.1000000000000001</v>
      </c>
      <c r="G5" s="25">
        <f t="shared" ref="G5" si="1">E5*F5</f>
        <v>0.18238000000000001</v>
      </c>
    </row>
    <row r="6" spans="1:7">
      <c r="E6" s="21"/>
    </row>
    <row r="7" spans="1:7">
      <c r="A7" s="21" t="s">
        <v>203</v>
      </c>
      <c r="B7" s="24">
        <v>9.5000000000000001E-2</v>
      </c>
    </row>
    <row r="8" spans="1:7">
      <c r="A8" s="21" t="s">
        <v>204</v>
      </c>
      <c r="B8" s="21">
        <v>1.8</v>
      </c>
    </row>
    <row r="9" spans="1:7">
      <c r="A9" s="21" t="s">
        <v>205</v>
      </c>
      <c r="B9" s="25">
        <f>B7*B8</f>
        <v>0.17100000000000001</v>
      </c>
      <c r="C9" t="s">
        <v>206</v>
      </c>
    </row>
    <row r="11" spans="1:7">
      <c r="A11" t="s">
        <v>219</v>
      </c>
    </row>
    <row r="12" spans="1:7">
      <c r="A12" t="s">
        <v>211</v>
      </c>
    </row>
    <row r="13" spans="1:7">
      <c r="A13" s="21" t="s">
        <v>94</v>
      </c>
      <c r="B13" s="21" t="s">
        <v>212</v>
      </c>
      <c r="C13" s="21" t="s">
        <v>213</v>
      </c>
      <c r="D13" s="21" t="s">
        <v>214</v>
      </c>
      <c r="E13" s="21" t="s">
        <v>215</v>
      </c>
    </row>
    <row r="14" spans="1:7">
      <c r="A14" s="21" t="s">
        <v>218</v>
      </c>
      <c r="B14" s="22">
        <v>0.18</v>
      </c>
      <c r="C14" s="22">
        <v>0.2</v>
      </c>
      <c r="D14" s="22">
        <f>C14-B14</f>
        <v>2.0000000000000018E-2</v>
      </c>
      <c r="E14" s="22">
        <f>D14/B14</f>
        <v>0.11111111111111122</v>
      </c>
    </row>
    <row r="15" spans="1:7">
      <c r="A15" s="21" t="s">
        <v>216</v>
      </c>
      <c r="B15" s="29">
        <v>1500000</v>
      </c>
      <c r="C15" s="29">
        <v>1800000</v>
      </c>
      <c r="D15" s="29">
        <f>C15-B15</f>
        <v>300000</v>
      </c>
      <c r="E15" s="22">
        <f>D15/B15</f>
        <v>0.2</v>
      </c>
    </row>
    <row r="16" spans="1:7">
      <c r="A16" s="21" t="s">
        <v>217</v>
      </c>
      <c r="B16" s="29">
        <f>B15*B14</f>
        <v>270000</v>
      </c>
      <c r="C16" s="29">
        <f>C15*C14</f>
        <v>360000</v>
      </c>
      <c r="D16" s="33">
        <f>C16-B16</f>
        <v>90000</v>
      </c>
      <c r="E16" s="22">
        <f>D16/B16</f>
        <v>0.33333333333333331</v>
      </c>
    </row>
    <row r="17" spans="1:6" ht="30">
      <c r="A17" s="30" t="s">
        <v>220</v>
      </c>
      <c r="B17" s="21"/>
      <c r="C17" s="21"/>
      <c r="D17" s="31">
        <f>D14*B15</f>
        <v>30000.000000000025</v>
      </c>
      <c r="E17" s="21"/>
      <c r="F17" t="s">
        <v>222</v>
      </c>
    </row>
    <row r="18" spans="1:6" ht="30">
      <c r="A18" s="30" t="s">
        <v>221</v>
      </c>
      <c r="B18" s="21"/>
      <c r="C18" s="21"/>
      <c r="D18" s="31">
        <f>D15*C14</f>
        <v>60000</v>
      </c>
      <c r="E18" s="21"/>
      <c r="F18" t="s">
        <v>223</v>
      </c>
    </row>
    <row r="19" spans="1:6">
      <c r="D19" s="32">
        <f>SUM(D17:D18)</f>
        <v>90000.000000000029</v>
      </c>
    </row>
    <row r="21" spans="1:6">
      <c r="A21" t="s">
        <v>224</v>
      </c>
    </row>
    <row r="22" spans="1:6">
      <c r="A22" s="21" t="s">
        <v>94</v>
      </c>
      <c r="B22" s="21" t="s">
        <v>212</v>
      </c>
      <c r="C22" s="21" t="s">
        <v>213</v>
      </c>
      <c r="D22" s="21" t="s">
        <v>214</v>
      </c>
      <c r="E22" s="21" t="s">
        <v>215</v>
      </c>
    </row>
    <row r="23" spans="1:6">
      <c r="A23" s="21" t="s">
        <v>218</v>
      </c>
      <c r="B23" s="22">
        <v>0.18</v>
      </c>
      <c r="C23" s="22">
        <v>0.2</v>
      </c>
      <c r="D23" s="22">
        <f>C23-B23</f>
        <v>2.0000000000000018E-2</v>
      </c>
      <c r="E23" s="22">
        <f>D23/B23</f>
        <v>0.11111111111111122</v>
      </c>
    </row>
    <row r="24" spans="1:6">
      <c r="A24" s="21" t="s">
        <v>216</v>
      </c>
      <c r="B24" s="29">
        <v>1500000</v>
      </c>
      <c r="C24" s="29">
        <v>1800000</v>
      </c>
      <c r="D24" s="29">
        <f>C24-B24</f>
        <v>300000</v>
      </c>
      <c r="E24" s="22">
        <f>D24/B24</f>
        <v>0.2</v>
      </c>
    </row>
    <row r="25" spans="1:6">
      <c r="A25" s="21" t="s">
        <v>217</v>
      </c>
      <c r="B25" s="29">
        <f>B24*B23</f>
        <v>270000</v>
      </c>
      <c r="C25" s="29">
        <f>C24*C23</f>
        <v>360000</v>
      </c>
      <c r="D25" s="33">
        <f>C25-B25</f>
        <v>90000</v>
      </c>
      <c r="E25" s="22">
        <f>D25/B25</f>
        <v>0.33333333333333331</v>
      </c>
    </row>
    <row r="26" spans="1:6" ht="45">
      <c r="A26" s="30" t="s">
        <v>225</v>
      </c>
      <c r="B26" s="21"/>
      <c r="C26" s="21"/>
      <c r="D26" s="31">
        <f>D23*C24</f>
        <v>36000.000000000029</v>
      </c>
      <c r="E26" s="21"/>
      <c r="F26" t="s">
        <v>226</v>
      </c>
    </row>
    <row r="27" spans="1:6" ht="30">
      <c r="A27" s="30" t="s">
        <v>221</v>
      </c>
      <c r="B27" s="21"/>
      <c r="C27" s="21"/>
      <c r="D27" s="31">
        <f>D24*B23</f>
        <v>54000</v>
      </c>
      <c r="E27" s="21"/>
      <c r="F27" t="s">
        <v>227</v>
      </c>
    </row>
    <row r="28" spans="1:6">
      <c r="D28" s="32">
        <f>SUM(D26:D27)</f>
        <v>90000.000000000029</v>
      </c>
    </row>
    <row r="31" spans="1:6">
      <c r="A31" t="s">
        <v>228</v>
      </c>
      <c r="E31" s="34" t="s">
        <v>230</v>
      </c>
    </row>
    <row r="32" spans="1:6">
      <c r="A32" s="21" t="s">
        <v>94</v>
      </c>
      <c r="B32" s="21" t="s">
        <v>212</v>
      </c>
      <c r="C32" s="21" t="s">
        <v>213</v>
      </c>
      <c r="D32" s="21" t="s">
        <v>214</v>
      </c>
      <c r="E32" s="21" t="s">
        <v>215</v>
      </c>
    </row>
    <row r="33" spans="1:6">
      <c r="A33" s="21" t="s">
        <v>231</v>
      </c>
      <c r="B33" s="35">
        <v>25000</v>
      </c>
      <c r="C33" s="35">
        <v>27000</v>
      </c>
      <c r="D33" s="35">
        <f>C33-B33</f>
        <v>2000</v>
      </c>
      <c r="E33" s="22">
        <f>D33/B33</f>
        <v>0.08</v>
      </c>
    </row>
    <row r="34" spans="1:6">
      <c r="A34" s="21" t="s">
        <v>232</v>
      </c>
      <c r="B34" s="29">
        <v>1500</v>
      </c>
      <c r="C34" s="29">
        <v>1800</v>
      </c>
      <c r="D34" s="29">
        <f>C34-B34</f>
        <v>300</v>
      </c>
      <c r="E34" s="22">
        <f>D34/B34</f>
        <v>0.2</v>
      </c>
    </row>
    <row r="35" spans="1:6">
      <c r="A35" s="21" t="s">
        <v>40</v>
      </c>
      <c r="B35" s="29">
        <f>B34*B33</f>
        <v>37500000</v>
      </c>
      <c r="C35" s="29">
        <f>C34*C33</f>
        <v>48600000</v>
      </c>
      <c r="D35" s="33">
        <f>C35-B35</f>
        <v>11100000</v>
      </c>
      <c r="E35" s="22">
        <f>D35/B35</f>
        <v>0.29599999999999999</v>
      </c>
    </row>
    <row r="36" spans="1:6" ht="30">
      <c r="A36" s="30" t="s">
        <v>233</v>
      </c>
      <c r="B36" s="21"/>
      <c r="C36" s="21"/>
      <c r="D36" s="31">
        <f>D33*B34</f>
        <v>3000000</v>
      </c>
      <c r="E36" s="21"/>
      <c r="F36" t="s">
        <v>222</v>
      </c>
    </row>
    <row r="37" spans="1:6" ht="30">
      <c r="A37" s="30" t="s">
        <v>234</v>
      </c>
      <c r="B37" s="21"/>
      <c r="C37" s="21"/>
      <c r="D37" s="31">
        <f>D34*C33</f>
        <v>8100000</v>
      </c>
      <c r="E37" s="21"/>
      <c r="F37" t="s">
        <v>223</v>
      </c>
    </row>
    <row r="38" spans="1:6">
      <c r="D38" s="32">
        <f>SUM(D36:D37)</f>
        <v>11100000</v>
      </c>
    </row>
    <row r="40" spans="1:6">
      <c r="A40" t="s">
        <v>229</v>
      </c>
    </row>
    <row r="41" spans="1:6">
      <c r="A41" s="21" t="s">
        <v>94</v>
      </c>
      <c r="B41" s="21" t="s">
        <v>212</v>
      </c>
      <c r="C41" s="21" t="s">
        <v>213</v>
      </c>
      <c r="D41" s="21" t="s">
        <v>214</v>
      </c>
      <c r="E41" s="21" t="s">
        <v>215</v>
      </c>
    </row>
    <row r="42" spans="1:6">
      <c r="A42" s="21" t="s">
        <v>231</v>
      </c>
      <c r="B42" s="35">
        <v>25000</v>
      </c>
      <c r="C42" s="35">
        <v>27000</v>
      </c>
      <c r="D42" s="35">
        <f>C42-B42</f>
        <v>2000</v>
      </c>
      <c r="E42" s="22">
        <f>D42/B42</f>
        <v>0.08</v>
      </c>
    </row>
    <row r="43" spans="1:6">
      <c r="A43" s="21" t="s">
        <v>232</v>
      </c>
      <c r="B43" s="29">
        <v>1500</v>
      </c>
      <c r="C43" s="29">
        <v>1800</v>
      </c>
      <c r="D43" s="29">
        <f>C43-B43</f>
        <v>300</v>
      </c>
      <c r="E43" s="22">
        <f>D43/B43</f>
        <v>0.2</v>
      </c>
    </row>
    <row r="44" spans="1:6">
      <c r="A44" s="21" t="s">
        <v>40</v>
      </c>
      <c r="B44" s="29">
        <f>B43*B42</f>
        <v>37500000</v>
      </c>
      <c r="C44" s="29">
        <f>C43*C42</f>
        <v>48600000</v>
      </c>
      <c r="D44" s="33">
        <f>C44-B44</f>
        <v>11100000</v>
      </c>
      <c r="E44" s="22">
        <f>D44/B44</f>
        <v>0.29599999999999999</v>
      </c>
    </row>
    <row r="45" spans="1:6" ht="45">
      <c r="A45" s="30" t="s">
        <v>235</v>
      </c>
      <c r="B45" s="21"/>
      <c r="C45" s="21"/>
      <c r="D45" s="31">
        <f>D42*C43</f>
        <v>3600000</v>
      </c>
      <c r="E45" s="21"/>
      <c r="F45" t="s">
        <v>226</v>
      </c>
    </row>
    <row r="46" spans="1:6" ht="30">
      <c r="A46" s="30" t="s">
        <v>234</v>
      </c>
      <c r="B46" s="21"/>
      <c r="C46" s="21"/>
      <c r="D46" s="31">
        <f>D43*B42</f>
        <v>7500000</v>
      </c>
      <c r="E46" s="21"/>
      <c r="F46" t="s">
        <v>227</v>
      </c>
    </row>
    <row r="47" spans="1:6">
      <c r="D47" s="32">
        <f>SUM(D45:D46)</f>
        <v>11100000</v>
      </c>
    </row>
    <row r="49" spans="1:10">
      <c r="A49" t="s">
        <v>228</v>
      </c>
      <c r="E49" s="34" t="s">
        <v>230</v>
      </c>
    </row>
    <row r="50" spans="1:10">
      <c r="A50" s="21" t="s">
        <v>94</v>
      </c>
      <c r="B50" s="21" t="s">
        <v>212</v>
      </c>
      <c r="C50" s="21" t="s">
        <v>213</v>
      </c>
      <c r="D50" s="21" t="s">
        <v>214</v>
      </c>
      <c r="E50" s="21" t="s">
        <v>215</v>
      </c>
    </row>
    <row r="51" spans="1:10">
      <c r="A51" s="21" t="s">
        <v>231</v>
      </c>
      <c r="B51" s="35">
        <v>25000</v>
      </c>
      <c r="C51" s="35">
        <v>28000</v>
      </c>
      <c r="D51" s="35">
        <f>C51-B51</f>
        <v>3000</v>
      </c>
      <c r="E51" s="22">
        <f>D51/B51</f>
        <v>0.12</v>
      </c>
    </row>
    <row r="52" spans="1:10">
      <c r="A52" s="21" t="s">
        <v>232</v>
      </c>
      <c r="B52" s="29">
        <v>1500</v>
      </c>
      <c r="C52" s="29">
        <v>1450</v>
      </c>
      <c r="D52" s="29">
        <f>C52-B52</f>
        <v>-50</v>
      </c>
      <c r="E52" s="22">
        <f>D52/B52</f>
        <v>-3.3333333333333333E-2</v>
      </c>
    </row>
    <row r="53" spans="1:10">
      <c r="A53" s="21" t="s">
        <v>40</v>
      </c>
      <c r="B53" s="29">
        <f>B52*B51</f>
        <v>37500000</v>
      </c>
      <c r="C53" s="29">
        <f>C52*C51</f>
        <v>40600000</v>
      </c>
      <c r="D53" s="33">
        <f>C53-B53</f>
        <v>3100000</v>
      </c>
      <c r="E53" s="22">
        <f>D53/B53</f>
        <v>8.2666666666666666E-2</v>
      </c>
    </row>
    <row r="54" spans="1:10" ht="30">
      <c r="A54" s="30" t="s">
        <v>233</v>
      </c>
      <c r="B54" s="21"/>
      <c r="C54" s="21"/>
      <c r="D54" s="31">
        <f>D51*B52</f>
        <v>4500000</v>
      </c>
      <c r="E54" s="21"/>
      <c r="F54" t="s">
        <v>222</v>
      </c>
    </row>
    <row r="55" spans="1:10" ht="30">
      <c r="A55" s="30" t="s">
        <v>234</v>
      </c>
      <c r="B55" s="21"/>
      <c r="C55" s="21"/>
      <c r="D55" s="31">
        <f>D52*C51</f>
        <v>-1400000</v>
      </c>
      <c r="E55" s="21"/>
      <c r="F55" t="s">
        <v>223</v>
      </c>
    </row>
    <row r="56" spans="1:10">
      <c r="D56" s="32">
        <f>SUM(D54:D55)</f>
        <v>3100000</v>
      </c>
    </row>
    <row r="58" spans="1:10" ht="63.75" customHeight="1">
      <c r="A58" s="254" t="s">
        <v>236</v>
      </c>
      <c r="B58" s="254"/>
      <c r="C58" s="254"/>
      <c r="D58" s="254"/>
      <c r="E58" s="254"/>
      <c r="F58" s="254"/>
      <c r="G58" s="254"/>
      <c r="H58" s="254"/>
      <c r="I58" s="36"/>
      <c r="J58" s="36"/>
    </row>
    <row r="59" spans="1:10" ht="15.75">
      <c r="A59" s="255" t="s">
        <v>237</v>
      </c>
      <c r="B59" s="256" t="s">
        <v>238</v>
      </c>
      <c r="C59" s="256"/>
      <c r="D59" s="257"/>
      <c r="E59" s="258"/>
      <c r="F59" s="257"/>
      <c r="G59" s="258"/>
      <c r="H59" s="51"/>
    </row>
    <row r="60" spans="1:10" ht="15.75">
      <c r="A60" s="255"/>
      <c r="B60" s="38">
        <v>44196</v>
      </c>
      <c r="C60" s="38">
        <v>44561</v>
      </c>
      <c r="D60" s="52"/>
      <c r="E60" s="52"/>
      <c r="F60" s="53"/>
      <c r="G60" s="53"/>
      <c r="H60" s="53"/>
    </row>
    <row r="61" spans="1:10" ht="15.75">
      <c r="A61" s="39" t="s">
        <v>239</v>
      </c>
      <c r="B61" s="40">
        <v>360</v>
      </c>
      <c r="C61" s="40">
        <v>412</v>
      </c>
      <c r="D61" s="53"/>
      <c r="E61" s="53"/>
      <c r="F61" s="53"/>
      <c r="G61" s="53"/>
      <c r="H61" s="53"/>
    </row>
    <row r="62" spans="1:10" ht="39" customHeight="1">
      <c r="A62" s="39" t="s">
        <v>240</v>
      </c>
      <c r="B62" s="40">
        <v>125</v>
      </c>
      <c r="C62" s="40">
        <v>175</v>
      </c>
      <c r="D62" s="53"/>
      <c r="E62" s="53"/>
      <c r="F62" s="53"/>
      <c r="G62" s="53"/>
      <c r="H62" s="53"/>
    </row>
    <row r="63" spans="1:10" ht="15.75">
      <c r="A63" s="39" t="s">
        <v>241</v>
      </c>
      <c r="B63" s="40">
        <v>53</v>
      </c>
      <c r="C63" s="40">
        <v>42</v>
      </c>
      <c r="D63" s="53"/>
      <c r="E63" s="53"/>
      <c r="F63" s="53"/>
      <c r="G63" s="53"/>
      <c r="H63" s="53"/>
    </row>
    <row r="64" spans="1:10" ht="40.5" customHeight="1">
      <c r="A64" s="39" t="s">
        <v>242</v>
      </c>
      <c r="B64" s="40">
        <v>165</v>
      </c>
      <c r="C64" s="40">
        <v>215</v>
      </c>
      <c r="D64" s="53"/>
      <c r="E64" s="53"/>
      <c r="F64" s="53"/>
      <c r="G64" s="53"/>
      <c r="H64" s="53"/>
    </row>
    <row r="65" spans="1:8" ht="38.25" customHeight="1">
      <c r="A65" s="39" t="s">
        <v>243</v>
      </c>
      <c r="B65" s="40">
        <v>85</v>
      </c>
      <c r="C65" s="40">
        <v>95</v>
      </c>
      <c r="D65" s="53"/>
      <c r="E65" s="53"/>
      <c r="F65" s="53"/>
      <c r="G65" s="53"/>
      <c r="H65" s="53"/>
    </row>
    <row r="66" spans="1:8">
      <c r="D66" s="52"/>
      <c r="E66" s="52"/>
      <c r="F66" s="52"/>
      <c r="G66" s="52"/>
      <c r="H66" s="52"/>
    </row>
    <row r="67" spans="1:8" ht="31.5">
      <c r="A67" s="255" t="s">
        <v>237</v>
      </c>
      <c r="B67" s="256" t="s">
        <v>238</v>
      </c>
      <c r="C67" s="256"/>
      <c r="D67" s="259" t="s">
        <v>249</v>
      </c>
      <c r="E67" s="260"/>
      <c r="F67" s="259" t="s">
        <v>252</v>
      </c>
      <c r="G67" s="260"/>
      <c r="H67" s="48" t="s">
        <v>253</v>
      </c>
    </row>
    <row r="68" spans="1:8" ht="15.75">
      <c r="A68" s="255"/>
      <c r="B68" s="38">
        <v>44196</v>
      </c>
      <c r="C68" s="45">
        <v>44561</v>
      </c>
      <c r="D68" s="21" t="s">
        <v>214</v>
      </c>
      <c r="E68" s="21" t="s">
        <v>215</v>
      </c>
      <c r="F68" s="47" t="s">
        <v>250</v>
      </c>
      <c r="G68" s="47" t="s">
        <v>254</v>
      </c>
      <c r="H68" s="47" t="s">
        <v>251</v>
      </c>
    </row>
    <row r="69" spans="1:8">
      <c r="A69" s="42" t="s">
        <v>239</v>
      </c>
      <c r="B69" s="43">
        <v>360</v>
      </c>
      <c r="C69" s="46">
        <v>412</v>
      </c>
      <c r="D69" s="44">
        <f>C69-B69</f>
        <v>52</v>
      </c>
      <c r="E69" s="54">
        <f>D69/B69</f>
        <v>0.14444444444444443</v>
      </c>
      <c r="F69" s="54">
        <f>B69/B$76</f>
        <v>0.55384615384615388</v>
      </c>
      <c r="G69" s="54">
        <f>C69/C$76</f>
        <v>0.513715710723192</v>
      </c>
      <c r="H69" s="55">
        <f>G69-F69</f>
        <v>-4.0130443122961879E-2</v>
      </c>
    </row>
    <row r="70" spans="1:8" ht="30">
      <c r="A70" s="42" t="s">
        <v>246</v>
      </c>
      <c r="B70" s="43">
        <f>B71+B72</f>
        <v>138</v>
      </c>
      <c r="C70" s="43">
        <f>C71+C72</f>
        <v>137</v>
      </c>
      <c r="D70" s="44">
        <f>C70-B70</f>
        <v>-1</v>
      </c>
      <c r="E70" s="54">
        <f>D70/B70</f>
        <v>-7.246376811594203E-3</v>
      </c>
      <c r="F70" s="54">
        <f>B70/B$76</f>
        <v>0.21230769230769231</v>
      </c>
      <c r="G70" s="54">
        <f>C70/C$76</f>
        <v>0.17082294264339151</v>
      </c>
      <c r="H70" s="55">
        <f>G70-F70</f>
        <v>-4.1484749664300796E-2</v>
      </c>
    </row>
    <row r="71" spans="1:8" ht="15.75">
      <c r="A71" s="41" t="s">
        <v>244</v>
      </c>
      <c r="B71" s="47">
        <f>B63</f>
        <v>53</v>
      </c>
      <c r="C71" s="47">
        <f>C63</f>
        <v>42</v>
      </c>
      <c r="D71" s="56">
        <f t="shared" ref="D71:D76" si="2">C71-B71</f>
        <v>-11</v>
      </c>
      <c r="E71" s="57">
        <f t="shared" ref="E71:E76" si="3">D71/B71</f>
        <v>-0.20754716981132076</v>
      </c>
      <c r="F71" s="57">
        <f t="shared" ref="F71:F76" si="4">B71/B$76</f>
        <v>8.1538461538461532E-2</v>
      </c>
      <c r="G71" s="57">
        <f t="shared" ref="G71:G76" si="5">C71/C$76</f>
        <v>5.2369077306733167E-2</v>
      </c>
      <c r="H71" s="58">
        <f t="shared" ref="H71:H75" si="6">G71-F71</f>
        <v>-2.9169384231728365E-2</v>
      </c>
    </row>
    <row r="72" spans="1:8" ht="15.75">
      <c r="A72" s="47" t="s">
        <v>245</v>
      </c>
      <c r="B72" s="47">
        <f>B65</f>
        <v>85</v>
      </c>
      <c r="C72" s="47">
        <f>C65</f>
        <v>95</v>
      </c>
      <c r="D72" s="56">
        <f t="shared" si="2"/>
        <v>10</v>
      </c>
      <c r="E72" s="57">
        <f t="shared" si="3"/>
        <v>0.11764705882352941</v>
      </c>
      <c r="F72" s="57">
        <f t="shared" si="4"/>
        <v>0.13076923076923078</v>
      </c>
      <c r="G72" s="57">
        <f t="shared" si="5"/>
        <v>0.11845386533665836</v>
      </c>
      <c r="H72" s="58">
        <f t="shared" si="6"/>
        <v>-1.2315365432572417E-2</v>
      </c>
    </row>
    <row r="73" spans="1:8" ht="30">
      <c r="A73" s="42" t="s">
        <v>247</v>
      </c>
      <c r="B73" s="50">
        <f>B74+B75</f>
        <v>152</v>
      </c>
      <c r="C73" s="50">
        <f>C74+C75</f>
        <v>253</v>
      </c>
      <c r="D73" s="44">
        <f t="shared" si="2"/>
        <v>101</v>
      </c>
      <c r="E73" s="54">
        <f t="shared" si="3"/>
        <v>0.66447368421052633</v>
      </c>
      <c r="F73" s="54">
        <f t="shared" si="4"/>
        <v>0.23384615384615384</v>
      </c>
      <c r="G73" s="54">
        <f t="shared" si="5"/>
        <v>0.31546134663341646</v>
      </c>
      <c r="H73" s="55">
        <f t="shared" si="6"/>
        <v>8.1615192787262619E-2</v>
      </c>
    </row>
    <row r="74" spans="1:8" ht="30">
      <c r="A74" s="39" t="s">
        <v>255</v>
      </c>
      <c r="B74" s="47">
        <f>B62-B63</f>
        <v>72</v>
      </c>
      <c r="C74" s="47">
        <f>C62-C63</f>
        <v>133</v>
      </c>
      <c r="D74" s="56">
        <f t="shared" si="2"/>
        <v>61</v>
      </c>
      <c r="E74" s="57">
        <f t="shared" si="3"/>
        <v>0.84722222222222221</v>
      </c>
      <c r="F74" s="57">
        <f t="shared" si="4"/>
        <v>0.11076923076923077</v>
      </c>
      <c r="G74" s="57">
        <f t="shared" si="5"/>
        <v>0.16583541147132169</v>
      </c>
      <c r="H74" s="58">
        <f t="shared" si="6"/>
        <v>5.5066180702090919E-2</v>
      </c>
    </row>
    <row r="75" spans="1:8" ht="30">
      <c r="A75" s="39" t="s">
        <v>256</v>
      </c>
      <c r="B75" s="47">
        <f>B64-B65</f>
        <v>80</v>
      </c>
      <c r="C75" s="47">
        <f>C64-C65</f>
        <v>120</v>
      </c>
      <c r="D75" s="56">
        <f t="shared" si="2"/>
        <v>40</v>
      </c>
      <c r="E75" s="57">
        <f t="shared" si="3"/>
        <v>0.5</v>
      </c>
      <c r="F75" s="57">
        <f t="shared" si="4"/>
        <v>0.12307692307692308</v>
      </c>
      <c r="G75" s="57">
        <f t="shared" si="5"/>
        <v>0.14962593516209477</v>
      </c>
      <c r="H75" s="58">
        <f t="shared" si="6"/>
        <v>2.6549012085171686E-2</v>
      </c>
    </row>
    <row r="76" spans="1:8" ht="15.75">
      <c r="A76" s="42" t="s">
        <v>248</v>
      </c>
      <c r="B76" s="50">
        <f>B69+B70+B73</f>
        <v>650</v>
      </c>
      <c r="C76" s="50">
        <f>C69+C70+C73</f>
        <v>802</v>
      </c>
      <c r="D76" s="44">
        <f t="shared" si="2"/>
        <v>152</v>
      </c>
      <c r="E76" s="54">
        <f t="shared" si="3"/>
        <v>0.23384615384615384</v>
      </c>
      <c r="F76" s="54">
        <f t="shared" si="4"/>
        <v>1</v>
      </c>
      <c r="G76" s="54">
        <f t="shared" si="5"/>
        <v>1</v>
      </c>
      <c r="H76" s="55"/>
    </row>
    <row r="78" spans="1:8" ht="36" customHeight="1">
      <c r="A78" s="249" t="s">
        <v>285</v>
      </c>
      <c r="B78" s="249"/>
      <c r="C78" s="249"/>
      <c r="D78" s="249"/>
      <c r="E78" s="249"/>
      <c r="F78" s="249"/>
      <c r="G78" s="249"/>
      <c r="H78" s="249"/>
    </row>
    <row r="79" spans="1:8" ht="25.5">
      <c r="A79" s="37" t="s">
        <v>1</v>
      </c>
      <c r="B79" s="70" t="s">
        <v>286</v>
      </c>
      <c r="C79" s="75"/>
    </row>
    <row r="80" spans="1:8" ht="25.5">
      <c r="A80" s="37" t="s">
        <v>287</v>
      </c>
      <c r="B80" s="70">
        <v>1500</v>
      </c>
      <c r="C80" s="74"/>
    </row>
    <row r="81" spans="1:5">
      <c r="A81" s="37" t="s">
        <v>288</v>
      </c>
      <c r="B81" s="70">
        <v>1090</v>
      </c>
      <c r="C81" s="74"/>
    </row>
    <row r="82" spans="1:5">
      <c r="A82" s="37" t="s">
        <v>289</v>
      </c>
      <c r="B82" s="70">
        <v>205</v>
      </c>
      <c r="C82" s="74"/>
    </row>
    <row r="83" spans="1:5" ht="25.5">
      <c r="A83" s="37" t="s">
        <v>290</v>
      </c>
      <c r="B83" s="70">
        <v>2150</v>
      </c>
      <c r="C83" s="74"/>
    </row>
    <row r="84" spans="1:5">
      <c r="A84" s="37" t="s">
        <v>291</v>
      </c>
      <c r="B84" s="70">
        <v>100</v>
      </c>
      <c r="C84" s="74"/>
    </row>
    <row r="85" spans="1:5" ht="25.5">
      <c r="A85" s="37" t="s">
        <v>292</v>
      </c>
      <c r="B85" s="70">
        <v>320</v>
      </c>
      <c r="C85" s="74"/>
    </row>
    <row r="87" spans="1:5" ht="25.5">
      <c r="A87" s="71" t="s">
        <v>1</v>
      </c>
      <c r="B87" s="72" t="s">
        <v>265</v>
      </c>
    </row>
    <row r="88" spans="1:5">
      <c r="A88" s="73" t="s">
        <v>266</v>
      </c>
      <c r="B88" s="72">
        <f>B81+B82</f>
        <v>1295</v>
      </c>
    </row>
    <row r="89" spans="1:5" ht="25.5">
      <c r="A89" s="73" t="s">
        <v>267</v>
      </c>
      <c r="B89" s="72">
        <f>B83+0-B80</f>
        <v>650</v>
      </c>
    </row>
    <row r="90" spans="1:5">
      <c r="A90" s="73" t="s">
        <v>268</v>
      </c>
      <c r="B90" s="78">
        <f>B89+B84</f>
        <v>750</v>
      </c>
      <c r="C90" t="s">
        <v>284</v>
      </c>
    </row>
    <row r="91" spans="1:5" ht="25.5">
      <c r="A91" s="77" t="s">
        <v>269</v>
      </c>
      <c r="B91" s="72">
        <f>B90+B85</f>
        <v>1070</v>
      </c>
      <c r="C91" s="79" t="s">
        <v>283</v>
      </c>
      <c r="D91" s="73" t="s">
        <v>273</v>
      </c>
      <c r="E91" s="73" t="s">
        <v>274</v>
      </c>
    </row>
    <row r="92" spans="1:5" ht="38.25">
      <c r="A92" s="77" t="s">
        <v>270</v>
      </c>
      <c r="B92" s="72">
        <f>B89-B88</f>
        <v>-645</v>
      </c>
      <c r="C92" s="79">
        <v>0</v>
      </c>
      <c r="D92" s="73" t="s">
        <v>275</v>
      </c>
      <c r="E92" s="80" t="s">
        <v>276</v>
      </c>
    </row>
    <row r="93" spans="1:5" ht="25.5">
      <c r="A93" s="77" t="s">
        <v>271</v>
      </c>
      <c r="B93" s="72">
        <f>B90-B88</f>
        <v>-545</v>
      </c>
      <c r="C93" s="79">
        <v>0</v>
      </c>
      <c r="D93" s="73" t="s">
        <v>277</v>
      </c>
      <c r="E93" s="80" t="s">
        <v>278</v>
      </c>
    </row>
    <row r="94" spans="1:5" ht="25.5">
      <c r="A94" s="77" t="s">
        <v>272</v>
      </c>
      <c r="B94" s="72">
        <f>B91-B88</f>
        <v>-225</v>
      </c>
      <c r="C94" s="79">
        <v>0</v>
      </c>
      <c r="D94" s="73" t="s">
        <v>279</v>
      </c>
      <c r="E94" s="80" t="s">
        <v>280</v>
      </c>
    </row>
    <row r="95" spans="1:5" ht="30">
      <c r="B95" s="49" t="s">
        <v>293</v>
      </c>
      <c r="C95" s="80" t="s">
        <v>282</v>
      </c>
      <c r="D95" s="73" t="s">
        <v>281</v>
      </c>
      <c r="E95" s="73" t="s">
        <v>282</v>
      </c>
    </row>
    <row r="96" spans="1:5">
      <c r="C96" s="76" t="s">
        <v>294</v>
      </c>
    </row>
    <row r="98" spans="1:7" ht="27.75" customHeight="1">
      <c r="A98" s="247" t="s">
        <v>295</v>
      </c>
      <c r="B98" s="246"/>
      <c r="C98" s="246"/>
      <c r="D98" s="246"/>
      <c r="E98" s="246"/>
      <c r="F98" s="246"/>
    </row>
    <row r="99" spans="1:7">
      <c r="A99" s="37" t="s">
        <v>261</v>
      </c>
      <c r="B99" s="69">
        <v>44196</v>
      </c>
      <c r="C99" s="69">
        <v>44561</v>
      </c>
      <c r="D99" s="21" t="s">
        <v>214</v>
      </c>
      <c r="E99" s="21" t="s">
        <v>215</v>
      </c>
    </row>
    <row r="100" spans="1:7">
      <c r="A100" s="37" t="s">
        <v>239</v>
      </c>
      <c r="B100" s="70">
        <v>1700</v>
      </c>
      <c r="C100" s="70">
        <v>2000</v>
      </c>
      <c r="D100" s="21">
        <f>C100-B100</f>
        <v>300</v>
      </c>
      <c r="E100" s="81">
        <f>D100/B100</f>
        <v>0.17647058823529413</v>
      </c>
    </row>
    <row r="101" spans="1:7">
      <c r="A101" s="37" t="s">
        <v>262</v>
      </c>
      <c r="B101" s="70">
        <v>1440</v>
      </c>
      <c r="C101" s="70">
        <v>1400</v>
      </c>
      <c r="D101" s="21">
        <f t="shared" ref="D101:D107" si="7">C101-B101</f>
        <v>-40</v>
      </c>
      <c r="E101" s="81">
        <f t="shared" ref="E101:E106" si="8">D101/B101</f>
        <v>-2.7777777777777776E-2</v>
      </c>
    </row>
    <row r="102" spans="1:7">
      <c r="A102" s="37" t="s">
        <v>263</v>
      </c>
      <c r="B102" s="70">
        <v>1060</v>
      </c>
      <c r="C102" s="70">
        <v>1300</v>
      </c>
      <c r="D102" s="21">
        <f t="shared" si="7"/>
        <v>240</v>
      </c>
      <c r="E102" s="81">
        <f t="shared" si="8"/>
        <v>0.22641509433962265</v>
      </c>
    </row>
    <row r="103" spans="1:7">
      <c r="A103" s="37" t="s">
        <v>264</v>
      </c>
      <c r="B103" s="70">
        <v>800</v>
      </c>
      <c r="C103" s="70">
        <v>700</v>
      </c>
      <c r="D103" s="21">
        <f t="shared" si="7"/>
        <v>-100</v>
      </c>
      <c r="E103" s="81">
        <f t="shared" si="8"/>
        <v>-0.125</v>
      </c>
    </row>
    <row r="104" spans="1:7">
      <c r="A104" s="21" t="s">
        <v>296</v>
      </c>
      <c r="B104" s="21">
        <f>B101+B102</f>
        <v>2500</v>
      </c>
      <c r="C104" s="21">
        <f>C101+C102</f>
        <v>2700</v>
      </c>
      <c r="D104" s="21">
        <f t="shared" si="7"/>
        <v>200</v>
      </c>
      <c r="E104" s="81">
        <f t="shared" si="8"/>
        <v>0.08</v>
      </c>
    </row>
    <row r="105" spans="1:7">
      <c r="A105" s="21" t="s">
        <v>297</v>
      </c>
      <c r="B105" s="21">
        <f>B100+B103</f>
        <v>2500</v>
      </c>
      <c r="C105" s="21">
        <f>C100+C103</f>
        <v>2700</v>
      </c>
      <c r="D105" s="21">
        <f t="shared" si="7"/>
        <v>200</v>
      </c>
      <c r="E105" s="81">
        <f t="shared" si="8"/>
        <v>0.08</v>
      </c>
    </row>
    <row r="106" spans="1:7" ht="30">
      <c r="A106" s="49" t="s">
        <v>298</v>
      </c>
      <c r="B106" s="21">
        <f>B100-B101</f>
        <v>260</v>
      </c>
      <c r="C106" s="21">
        <f>C100-C101</f>
        <v>600</v>
      </c>
      <c r="D106" s="21">
        <f t="shared" si="7"/>
        <v>340</v>
      </c>
      <c r="E106" s="81">
        <f t="shared" si="8"/>
        <v>1.3076923076923077</v>
      </c>
    </row>
    <row r="107" spans="1:7" ht="30">
      <c r="A107" s="49" t="s">
        <v>299</v>
      </c>
      <c r="B107" s="66">
        <f>B106/B102</f>
        <v>0.24528301886792453</v>
      </c>
      <c r="C107" s="66">
        <f>C106/C102</f>
        <v>0.46153846153846156</v>
      </c>
      <c r="D107" s="66">
        <f t="shared" si="7"/>
        <v>0.21625544267053703</v>
      </c>
      <c r="E107" s="81"/>
    </row>
    <row r="109" spans="1:7" ht="30" customHeight="1">
      <c r="A109" s="246" t="s">
        <v>300</v>
      </c>
      <c r="B109" s="246"/>
      <c r="C109" s="246"/>
      <c r="D109" s="246"/>
      <c r="E109" s="246"/>
      <c r="F109" s="246"/>
      <c r="G109" s="246"/>
    </row>
    <row r="110" spans="1:7">
      <c r="A110" s="250" t="s">
        <v>301</v>
      </c>
      <c r="B110" s="251" t="s">
        <v>302</v>
      </c>
      <c r="C110" s="251"/>
      <c r="D110" s="21"/>
      <c r="E110" s="21"/>
    </row>
    <row r="111" spans="1:7">
      <c r="A111" s="250"/>
      <c r="B111" s="83">
        <v>44196</v>
      </c>
      <c r="C111" s="83">
        <v>44561</v>
      </c>
      <c r="D111" s="21" t="s">
        <v>308</v>
      </c>
      <c r="E111" s="21" t="s">
        <v>309</v>
      </c>
    </row>
    <row r="112" spans="1:7">
      <c r="A112" s="37" t="s">
        <v>303</v>
      </c>
      <c r="B112" s="70">
        <v>16360</v>
      </c>
      <c r="C112" s="84">
        <v>19900</v>
      </c>
      <c r="D112" s="62">
        <f>C112-B112</f>
        <v>3540</v>
      </c>
      <c r="E112" s="25">
        <f>D112/B112</f>
        <v>0.21638141809290953</v>
      </c>
    </row>
    <row r="113" spans="1:6">
      <c r="A113" s="85" t="s">
        <v>304</v>
      </c>
      <c r="B113" s="70">
        <v>668</v>
      </c>
      <c r="C113" s="70">
        <v>764</v>
      </c>
      <c r="D113" s="62">
        <f t="shared" ref="D113:D126" si="9">C113-B113</f>
        <v>96</v>
      </c>
      <c r="E113" s="25">
        <f t="shared" ref="E113:E121" si="10">D113/B113</f>
        <v>0.1437125748502994</v>
      </c>
    </row>
    <row r="114" spans="1:6" ht="25.5">
      <c r="A114" s="37" t="s">
        <v>307</v>
      </c>
      <c r="B114" s="70">
        <v>4708</v>
      </c>
      <c r="C114" s="70">
        <v>6512</v>
      </c>
      <c r="D114" s="62">
        <f t="shared" si="9"/>
        <v>1804</v>
      </c>
      <c r="E114" s="25">
        <f t="shared" si="10"/>
        <v>0.38317757009345793</v>
      </c>
    </row>
    <row r="115" spans="1:6">
      <c r="A115" s="85" t="s">
        <v>305</v>
      </c>
      <c r="B115" s="70">
        <v>470</v>
      </c>
      <c r="C115" s="70">
        <v>860</v>
      </c>
      <c r="D115" s="62">
        <f t="shared" si="9"/>
        <v>390</v>
      </c>
      <c r="E115" s="25">
        <f t="shared" si="10"/>
        <v>0.82978723404255317</v>
      </c>
    </row>
    <row r="116" spans="1:6">
      <c r="A116" s="37" t="s">
        <v>14</v>
      </c>
      <c r="B116" s="70">
        <v>9784</v>
      </c>
      <c r="C116" s="84">
        <v>10900</v>
      </c>
      <c r="D116" s="62">
        <f t="shared" si="9"/>
        <v>1116</v>
      </c>
      <c r="E116" s="25">
        <f t="shared" si="10"/>
        <v>0.11406377759607522</v>
      </c>
    </row>
    <row r="117" spans="1:6">
      <c r="A117" s="85" t="s">
        <v>306</v>
      </c>
      <c r="B117" s="70">
        <v>1200</v>
      </c>
      <c r="C117" s="70">
        <v>1355</v>
      </c>
      <c r="D117" s="62">
        <f t="shared" si="9"/>
        <v>155</v>
      </c>
      <c r="E117" s="25">
        <f t="shared" si="10"/>
        <v>0.12916666666666668</v>
      </c>
    </row>
    <row r="118" spans="1:6">
      <c r="A118" s="37" t="s">
        <v>289</v>
      </c>
      <c r="B118" s="70">
        <v>700</v>
      </c>
      <c r="C118" s="70">
        <v>924</v>
      </c>
      <c r="D118" s="62">
        <f t="shared" si="9"/>
        <v>224</v>
      </c>
      <c r="E118" s="25">
        <f t="shared" si="10"/>
        <v>0.32</v>
      </c>
    </row>
    <row r="119" spans="1:6">
      <c r="A119" s="37" t="s">
        <v>264</v>
      </c>
      <c r="B119" s="70">
        <v>5120</v>
      </c>
      <c r="C119" s="70">
        <v>9600</v>
      </c>
      <c r="D119" s="62">
        <f t="shared" si="9"/>
        <v>4480</v>
      </c>
      <c r="E119" s="25">
        <f t="shared" si="10"/>
        <v>0.875</v>
      </c>
    </row>
    <row r="120" spans="1:6">
      <c r="A120" s="21" t="s">
        <v>311</v>
      </c>
      <c r="B120" s="79">
        <f>B113+B114+B116+B118</f>
        <v>15860</v>
      </c>
      <c r="C120" s="79">
        <f>C113+C114+C116+C118</f>
        <v>19100</v>
      </c>
      <c r="D120" s="62">
        <f t="shared" si="9"/>
        <v>3240</v>
      </c>
      <c r="E120" s="25">
        <f t="shared" si="10"/>
        <v>0.20428751576292559</v>
      </c>
    </row>
    <row r="121" spans="1:6" ht="25.5">
      <c r="A121" s="86" t="s">
        <v>310</v>
      </c>
      <c r="B121" s="87">
        <f>B112-B120</f>
        <v>500</v>
      </c>
      <c r="C121" s="87">
        <f>C112-C120</f>
        <v>800</v>
      </c>
      <c r="D121" s="88">
        <f t="shared" si="9"/>
        <v>300</v>
      </c>
      <c r="E121" s="90">
        <f t="shared" si="10"/>
        <v>0.6</v>
      </c>
      <c r="F121" t="s">
        <v>317</v>
      </c>
    </row>
    <row r="122" spans="1:6" ht="51">
      <c r="A122" s="37" t="s">
        <v>312</v>
      </c>
      <c r="B122" s="66">
        <f>(B113+0)/B119</f>
        <v>0.13046874999999999</v>
      </c>
      <c r="C122" s="66">
        <f>(C113+0)/C119</f>
        <v>7.9583333333333339E-2</v>
      </c>
      <c r="D122" s="89">
        <f t="shared" si="9"/>
        <v>-5.0885416666666655E-2</v>
      </c>
      <c r="E122" s="37" t="s">
        <v>99</v>
      </c>
      <c r="F122" s="37" t="s">
        <v>100</v>
      </c>
    </row>
    <row r="123" spans="1:6" ht="76.5">
      <c r="A123" s="37" t="s">
        <v>313</v>
      </c>
      <c r="B123" s="21">
        <f>(B113+B114)/B119</f>
        <v>1.05</v>
      </c>
      <c r="C123" s="66">
        <f>(C113+C114)/C119</f>
        <v>0.75791666666666668</v>
      </c>
      <c r="D123" s="89">
        <f t="shared" si="9"/>
        <v>-0.29208333333333336</v>
      </c>
      <c r="E123" s="37" t="s">
        <v>102</v>
      </c>
      <c r="F123" s="59" t="s">
        <v>103</v>
      </c>
    </row>
    <row r="124" spans="1:6" ht="51">
      <c r="A124" s="37" t="s">
        <v>314</v>
      </c>
      <c r="B124" s="92">
        <f>(B112-B121)/B119</f>
        <v>3.09765625</v>
      </c>
      <c r="C124" s="92">
        <f>(C112-C121)/C119</f>
        <v>1.9895833333333333</v>
      </c>
      <c r="D124" s="89">
        <f t="shared" si="9"/>
        <v>-1.1080729166666667</v>
      </c>
      <c r="E124" s="37" t="s">
        <v>105</v>
      </c>
      <c r="F124" s="59" t="s">
        <v>106</v>
      </c>
    </row>
    <row r="125" spans="1:6" ht="38.25">
      <c r="A125" s="37" t="s">
        <v>315</v>
      </c>
      <c r="B125" s="66">
        <f>(B113+B114-B115)/B119</f>
        <v>0.95820312500000004</v>
      </c>
      <c r="C125" s="66">
        <f>(C113+C114-C115)/C119</f>
        <v>0.66833333333333333</v>
      </c>
      <c r="D125" s="89">
        <f t="shared" si="9"/>
        <v>-0.28986979166666671</v>
      </c>
      <c r="E125" s="91"/>
    </row>
    <row r="126" spans="1:6" ht="51">
      <c r="A126" s="37" t="s">
        <v>316</v>
      </c>
      <c r="B126" s="92">
        <f>(B112-B121-B115-B117)/B119</f>
        <v>2.771484375</v>
      </c>
      <c r="C126" s="92">
        <f>(C112-C121-C115-C117)/C119</f>
        <v>1.7588541666666666</v>
      </c>
      <c r="D126" s="89">
        <f t="shared" si="9"/>
        <v>-1.0126302083333334</v>
      </c>
      <c r="E126" s="21"/>
    </row>
    <row r="128" spans="1:6" ht="17.25" customHeight="1">
      <c r="A128" s="252" t="s">
        <v>318</v>
      </c>
      <c r="B128" s="252"/>
      <c r="C128" s="252"/>
      <c r="D128" s="252"/>
      <c r="E128" s="252"/>
    </row>
    <row r="129" spans="1:6" ht="18.75" customHeight="1">
      <c r="A129" s="253" t="s">
        <v>319</v>
      </c>
      <c r="B129" s="246"/>
      <c r="C129" s="246"/>
      <c r="D129" s="246"/>
      <c r="E129" s="246"/>
    </row>
    <row r="130" spans="1:6" ht="25.5">
      <c r="A130" s="65" t="s">
        <v>1</v>
      </c>
      <c r="B130" s="65" t="s">
        <v>320</v>
      </c>
      <c r="C130" s="65" t="s">
        <v>321</v>
      </c>
      <c r="D130" s="105" t="s">
        <v>326</v>
      </c>
      <c r="E130" s="21" t="s">
        <v>327</v>
      </c>
      <c r="F130" s="21"/>
    </row>
    <row r="131" spans="1:6">
      <c r="A131" s="65" t="s">
        <v>322</v>
      </c>
      <c r="B131" s="65">
        <f>B133*B134</f>
        <v>32500</v>
      </c>
      <c r="C131" s="65">
        <f>B131+D131</f>
        <v>42500</v>
      </c>
      <c r="D131" s="105">
        <v>10000</v>
      </c>
      <c r="E131" s="25">
        <f>D131/B131</f>
        <v>0.30769230769230771</v>
      </c>
      <c r="F131" s="21"/>
    </row>
    <row r="132" spans="1:6">
      <c r="A132" s="85" t="s">
        <v>323</v>
      </c>
      <c r="B132" s="65">
        <f>B131-0.75*B133</f>
        <v>13000</v>
      </c>
      <c r="C132" s="65">
        <f>B132+D132</f>
        <v>15500</v>
      </c>
      <c r="D132" s="105">
        <v>2500</v>
      </c>
      <c r="E132" s="25">
        <f t="shared" ref="E132:E133" si="11">D132/B132</f>
        <v>0.19230769230769232</v>
      </c>
      <c r="F132" s="21"/>
    </row>
    <row r="133" spans="1:6">
      <c r="A133" s="65" t="s">
        <v>264</v>
      </c>
      <c r="B133" s="65">
        <v>26000</v>
      </c>
      <c r="C133" s="103">
        <v>39000</v>
      </c>
      <c r="D133" s="106">
        <f>C133-B133</f>
        <v>13000</v>
      </c>
      <c r="E133" s="25">
        <f t="shared" si="11"/>
        <v>0.5</v>
      </c>
      <c r="F133" s="21"/>
    </row>
    <row r="134" spans="1:6" ht="25.5">
      <c r="A134" s="65" t="s">
        <v>324</v>
      </c>
      <c r="B134" s="65">
        <v>1.25</v>
      </c>
      <c r="C134" s="96">
        <f>C131/C133</f>
        <v>1.0897435897435896</v>
      </c>
      <c r="D134" s="107">
        <f>C134-B134</f>
        <v>-0.16025641025641035</v>
      </c>
      <c r="E134" s="65" t="s">
        <v>329</v>
      </c>
      <c r="F134" s="59" t="s">
        <v>106</v>
      </c>
    </row>
    <row r="135" spans="1:6" ht="25.5">
      <c r="A135" s="65" t="s">
        <v>325</v>
      </c>
      <c r="B135" s="65">
        <v>0.75</v>
      </c>
      <c r="C135" s="96">
        <f>(C131-C132)/C133</f>
        <v>0.69230769230769229</v>
      </c>
      <c r="D135" s="107">
        <f>C135-B135</f>
        <v>-5.7692307692307709E-2</v>
      </c>
      <c r="E135" s="65" t="s">
        <v>330</v>
      </c>
      <c r="F135" s="21" t="s">
        <v>103</v>
      </c>
    </row>
    <row r="136" spans="1:6">
      <c r="A136" s="21"/>
      <c r="B136" s="21"/>
      <c r="C136" s="21"/>
      <c r="D136" s="21"/>
      <c r="E136" s="91" t="s">
        <v>331</v>
      </c>
    </row>
    <row r="137" spans="1:6" ht="25.5">
      <c r="A137" s="104" t="s">
        <v>328</v>
      </c>
      <c r="B137" s="21"/>
      <c r="C137" s="21"/>
      <c r="D137" s="21"/>
      <c r="E137" s="21" t="s">
        <v>332</v>
      </c>
    </row>
    <row r="139" spans="1:6">
      <c r="A139" s="253" t="s">
        <v>333</v>
      </c>
      <c r="B139" s="246"/>
      <c r="C139" s="246"/>
      <c r="D139" s="246"/>
      <c r="E139" s="246"/>
    </row>
    <row r="140" spans="1:6" ht="47.25" customHeight="1">
      <c r="A140" s="252" t="s">
        <v>334</v>
      </c>
      <c r="B140" s="252"/>
      <c r="C140" s="252"/>
      <c r="D140" s="252"/>
      <c r="E140" s="252"/>
      <c r="F140" s="252"/>
    </row>
    <row r="141" spans="1:6" ht="38.25">
      <c r="A141" s="65" t="s">
        <v>335</v>
      </c>
      <c r="B141" s="82" t="s">
        <v>336</v>
      </c>
      <c r="C141" s="21" t="s">
        <v>342</v>
      </c>
    </row>
    <row r="142" spans="1:6" ht="25.5">
      <c r="A142" s="65" t="s">
        <v>337</v>
      </c>
      <c r="B142" s="84">
        <v>900000</v>
      </c>
      <c r="C142" s="21"/>
    </row>
    <row r="143" spans="1:6" ht="25.5">
      <c r="A143" s="65" t="s">
        <v>338</v>
      </c>
      <c r="B143" s="84">
        <v>940000</v>
      </c>
      <c r="C143" s="21"/>
    </row>
    <row r="144" spans="1:6" ht="25.5">
      <c r="A144" s="65" t="s">
        <v>339</v>
      </c>
      <c r="B144" s="84">
        <v>894000</v>
      </c>
      <c r="C144" s="21"/>
    </row>
    <row r="145" spans="1:5">
      <c r="A145" s="65" t="s">
        <v>340</v>
      </c>
      <c r="B145" s="84">
        <v>5940000</v>
      </c>
      <c r="C145" s="21"/>
    </row>
    <row r="146" spans="1:5" ht="25.5">
      <c r="A146" s="65" t="s">
        <v>341</v>
      </c>
      <c r="B146" s="84">
        <v>4500000</v>
      </c>
      <c r="C146" s="21"/>
    </row>
    <row r="147" spans="1:5" ht="60">
      <c r="A147" s="60" t="s">
        <v>344</v>
      </c>
      <c r="B147" s="93">
        <f>365*B142/B145</f>
        <v>55.303030303030305</v>
      </c>
      <c r="C147" s="21">
        <v>43</v>
      </c>
      <c r="D147" s="93">
        <f>B147-C147</f>
        <v>12.303030303030305</v>
      </c>
    </row>
    <row r="148" spans="1:5" ht="45">
      <c r="A148" s="60" t="s">
        <v>343</v>
      </c>
      <c r="B148" s="93">
        <f>365*B143/B146</f>
        <v>76.24444444444444</v>
      </c>
      <c r="C148" s="21">
        <f>C150-C147</f>
        <v>77</v>
      </c>
      <c r="D148" s="93">
        <f t="shared" ref="D148:D151" si="12">B148-C148</f>
        <v>-0.75555555555555998</v>
      </c>
    </row>
    <row r="149" spans="1:5" ht="60">
      <c r="A149" s="109" t="s">
        <v>345</v>
      </c>
      <c r="B149" s="93">
        <f>365*B144/B145</f>
        <v>54.934343434343432</v>
      </c>
      <c r="C149" s="21">
        <v>55</v>
      </c>
      <c r="D149" s="93">
        <f t="shared" si="12"/>
        <v>-6.5656565656567523E-2</v>
      </c>
    </row>
    <row r="150" spans="1:5" ht="51">
      <c r="A150" s="65" t="s">
        <v>346</v>
      </c>
      <c r="B150" s="108">
        <f>B148+B147</f>
        <v>131.54747474747475</v>
      </c>
      <c r="C150" s="21">
        <v>120</v>
      </c>
      <c r="D150" s="93">
        <f t="shared" si="12"/>
        <v>11.547474747474752</v>
      </c>
    </row>
    <row r="151" spans="1:5" ht="76.5">
      <c r="A151" s="65" t="s">
        <v>347</v>
      </c>
      <c r="B151" s="108">
        <f>B150-B149</f>
        <v>76.613131313131319</v>
      </c>
      <c r="C151" s="93">
        <f>C150-C149</f>
        <v>65</v>
      </c>
      <c r="D151" s="93">
        <f t="shared" si="12"/>
        <v>11.613131313131319</v>
      </c>
    </row>
    <row r="153" spans="1:5" ht="33" customHeight="1">
      <c r="A153" s="252" t="s">
        <v>348</v>
      </c>
      <c r="B153" s="252"/>
      <c r="C153" s="252"/>
      <c r="D153" s="252"/>
      <c r="E153" s="252"/>
    </row>
    <row r="154" spans="1:5" ht="38.25">
      <c r="A154" s="65" t="s">
        <v>1</v>
      </c>
      <c r="B154" s="65" t="s">
        <v>349</v>
      </c>
      <c r="C154" s="65" t="s">
        <v>350</v>
      </c>
      <c r="D154" s="21" t="s">
        <v>356</v>
      </c>
      <c r="E154" s="21" t="s">
        <v>327</v>
      </c>
    </row>
    <row r="155" spans="1:5">
      <c r="A155" s="65" t="s">
        <v>351</v>
      </c>
      <c r="B155" s="82">
        <v>984</v>
      </c>
      <c r="C155" s="82">
        <v>994</v>
      </c>
      <c r="D155" s="21">
        <f>C155-B155</f>
        <v>10</v>
      </c>
      <c r="E155" s="81">
        <f>D155/B155</f>
        <v>1.016260162601626E-2</v>
      </c>
    </row>
    <row r="156" spans="1:5">
      <c r="A156" s="65" t="s">
        <v>352</v>
      </c>
      <c r="B156" s="82">
        <v>985</v>
      </c>
      <c r="C156" s="82">
        <v>1090</v>
      </c>
      <c r="D156" s="21">
        <f t="shared" ref="D156:D162" si="13">C156-B156</f>
        <v>105</v>
      </c>
      <c r="E156" s="81">
        <f t="shared" ref="E156:E161" si="14">D156/B156</f>
        <v>0.1065989847715736</v>
      </c>
    </row>
    <row r="157" spans="1:5">
      <c r="A157" s="65" t="s">
        <v>353</v>
      </c>
      <c r="B157" s="82">
        <v>5700</v>
      </c>
      <c r="C157" s="114">
        <f>B157+D161</f>
        <v>5689</v>
      </c>
      <c r="D157" s="113">
        <f t="shared" si="13"/>
        <v>-11</v>
      </c>
      <c r="E157" s="81">
        <f t="shared" si="14"/>
        <v>-1.9298245614035089E-3</v>
      </c>
    </row>
    <row r="158" spans="1:5">
      <c r="A158" s="110" t="s">
        <v>354</v>
      </c>
      <c r="B158" s="21">
        <f>B160+B159</f>
        <v>197</v>
      </c>
      <c r="C158" s="21">
        <f>C160+C159</f>
        <v>218</v>
      </c>
      <c r="D158" s="21">
        <f t="shared" si="13"/>
        <v>21</v>
      </c>
      <c r="E158" s="81">
        <f t="shared" si="14"/>
        <v>0.1065989847715736</v>
      </c>
    </row>
    <row r="159" spans="1:5" ht="31.5">
      <c r="A159" s="111" t="s">
        <v>357</v>
      </c>
      <c r="B159" s="21">
        <f>B156*20%</f>
        <v>197</v>
      </c>
      <c r="C159" s="21">
        <f>C156*20%</f>
        <v>218</v>
      </c>
      <c r="D159" s="21">
        <f t="shared" si="13"/>
        <v>21</v>
      </c>
      <c r="E159" s="81">
        <f t="shared" si="14"/>
        <v>0.1065989847715736</v>
      </c>
    </row>
    <row r="160" spans="1:5" ht="15.75">
      <c r="A160" s="111" t="s">
        <v>54</v>
      </c>
      <c r="B160" s="21">
        <v>0</v>
      </c>
      <c r="C160" s="21">
        <v>0</v>
      </c>
      <c r="D160" s="21">
        <f t="shared" si="13"/>
        <v>0</v>
      </c>
      <c r="E160" s="81"/>
    </row>
    <row r="161" spans="1:6" ht="15.75">
      <c r="A161" s="112" t="s">
        <v>56</v>
      </c>
      <c r="B161" s="21">
        <f>B155-B158</f>
        <v>787</v>
      </c>
      <c r="C161" s="21">
        <f>C155-C158</f>
        <v>776</v>
      </c>
      <c r="D161" s="113">
        <f t="shared" si="13"/>
        <v>-11</v>
      </c>
      <c r="E161" s="81">
        <f t="shared" si="14"/>
        <v>-1.397712833545108E-2</v>
      </c>
    </row>
    <row r="162" spans="1:6">
      <c r="A162" s="21" t="s">
        <v>355</v>
      </c>
      <c r="B162" s="25">
        <f>B161/B157</f>
        <v>0.13807017543859648</v>
      </c>
      <c r="C162" s="25">
        <f>C161/C157</f>
        <v>0.13640358586746354</v>
      </c>
      <c r="D162" s="116">
        <f t="shared" si="13"/>
        <v>-1.6665895711329426E-3</v>
      </c>
      <c r="E162" s="21"/>
    </row>
    <row r="164" spans="1:6" ht="69" customHeight="1">
      <c r="A164" s="252" t="s">
        <v>358</v>
      </c>
      <c r="B164" s="252"/>
      <c r="C164" s="252"/>
      <c r="D164" s="252"/>
      <c r="E164" s="252"/>
      <c r="F164" s="252"/>
    </row>
    <row r="165" spans="1:6">
      <c r="A165" s="21" t="s">
        <v>94</v>
      </c>
      <c r="B165" s="21" t="s">
        <v>359</v>
      </c>
      <c r="C165" s="21" t="s">
        <v>360</v>
      </c>
      <c r="D165" s="117" t="s">
        <v>356</v>
      </c>
      <c r="E165" s="21" t="s">
        <v>327</v>
      </c>
    </row>
    <row r="166" spans="1:6">
      <c r="A166" s="21" t="s">
        <v>361</v>
      </c>
      <c r="B166" s="21">
        <v>250000</v>
      </c>
      <c r="C166" s="21">
        <f>B166</f>
        <v>250000</v>
      </c>
      <c r="D166" s="119">
        <f>C166-B166</f>
        <v>0</v>
      </c>
      <c r="E166" s="25">
        <f>D166/B166</f>
        <v>0</v>
      </c>
    </row>
    <row r="167" spans="1:6">
      <c r="A167" s="21" t="s">
        <v>362</v>
      </c>
      <c r="B167" s="21">
        <f>B166*90%</f>
        <v>225000</v>
      </c>
      <c r="C167" s="21">
        <f>C166*(90%-4%)</f>
        <v>215000</v>
      </c>
      <c r="D167" s="119">
        <f t="shared" ref="D167:D172" si="15">C167-B167</f>
        <v>-10000</v>
      </c>
      <c r="E167" s="25">
        <f t="shared" ref="E167:E171" si="16">D167/B167</f>
        <v>-4.4444444444444446E-2</v>
      </c>
    </row>
    <row r="168" spans="1:6">
      <c r="A168" s="21" t="s">
        <v>363</v>
      </c>
      <c r="B168" s="21">
        <v>165000</v>
      </c>
      <c r="C168" s="21">
        <f>B168</f>
        <v>165000</v>
      </c>
      <c r="D168" s="119">
        <f t="shared" si="15"/>
        <v>0</v>
      </c>
      <c r="E168" s="25">
        <f t="shared" si="16"/>
        <v>0</v>
      </c>
    </row>
    <row r="169" spans="1:6">
      <c r="A169" s="21" t="s">
        <v>364</v>
      </c>
      <c r="B169" s="21">
        <v>55000</v>
      </c>
      <c r="C169" s="21">
        <f>B169*(1-0.25)</f>
        <v>41250</v>
      </c>
      <c r="D169" s="119">
        <f t="shared" si="15"/>
        <v>-13750</v>
      </c>
      <c r="E169" s="25">
        <f t="shared" si="16"/>
        <v>-0.25</v>
      </c>
    </row>
    <row r="170" spans="1:6">
      <c r="A170" s="21" t="s">
        <v>40</v>
      </c>
      <c r="B170" s="21">
        <f>B166+B167</f>
        <v>475000</v>
      </c>
      <c r="C170" s="21">
        <f>C166+C167</f>
        <v>465000</v>
      </c>
      <c r="D170" s="119">
        <f t="shared" si="15"/>
        <v>-10000</v>
      </c>
      <c r="E170" s="25">
        <f t="shared" si="16"/>
        <v>-2.1052631578947368E-2</v>
      </c>
    </row>
    <row r="171" spans="1:6">
      <c r="A171" s="115" t="s">
        <v>365</v>
      </c>
      <c r="B171" s="21">
        <f>B170-B166-B168-B169</f>
        <v>5000</v>
      </c>
      <c r="C171" s="21">
        <f>C170-C166-C168-C169</f>
        <v>8750</v>
      </c>
      <c r="D171" s="119">
        <f t="shared" si="15"/>
        <v>3750</v>
      </c>
      <c r="E171" s="25">
        <f t="shared" si="16"/>
        <v>0.75</v>
      </c>
    </row>
    <row r="172" spans="1:6">
      <c r="A172" s="115" t="s">
        <v>366</v>
      </c>
      <c r="B172" s="81">
        <f>B171/B170</f>
        <v>1.0526315789473684E-2</v>
      </c>
      <c r="C172" s="81">
        <f>C171/C170</f>
        <v>1.8817204301075269E-2</v>
      </c>
      <c r="D172" s="118">
        <f t="shared" si="15"/>
        <v>8.2908885116015855E-3</v>
      </c>
      <c r="E172" s="25"/>
    </row>
    <row r="174" spans="1:6" ht="51.75" customHeight="1">
      <c r="A174" s="252" t="s">
        <v>367</v>
      </c>
      <c r="B174" s="252"/>
      <c r="C174" s="252"/>
      <c r="D174" s="252"/>
      <c r="E174" s="252"/>
      <c r="F174" s="252"/>
    </row>
    <row r="175" spans="1:6">
      <c r="A175" s="21" t="s">
        <v>94</v>
      </c>
      <c r="B175" s="21">
        <v>1</v>
      </c>
      <c r="C175" s="21">
        <v>2</v>
      </c>
      <c r="D175" s="117" t="s">
        <v>356</v>
      </c>
      <c r="E175" s="21" t="s">
        <v>327</v>
      </c>
    </row>
    <row r="176" spans="1:6">
      <c r="A176" s="21" t="s">
        <v>368</v>
      </c>
      <c r="B176" s="21"/>
      <c r="C176" s="21">
        <v>59000</v>
      </c>
      <c r="D176" s="21"/>
      <c r="E176" s="21"/>
    </row>
    <row r="177" spans="1:6">
      <c r="A177" s="21" t="s">
        <v>369</v>
      </c>
      <c r="B177" s="21"/>
      <c r="C177" s="92">
        <f>C176/1.2</f>
        <v>49166.666666666672</v>
      </c>
      <c r="D177" s="21"/>
      <c r="E177" s="21"/>
    </row>
    <row r="178" spans="1:6">
      <c r="A178" s="21" t="s">
        <v>370</v>
      </c>
      <c r="B178" s="21">
        <v>2360</v>
      </c>
      <c r="C178" s="21">
        <f>B178*(1-0.15)</f>
        <v>2006</v>
      </c>
      <c r="D178" s="21">
        <f>C178-B178</f>
        <v>-354</v>
      </c>
      <c r="E178" s="25">
        <f>D178/B178</f>
        <v>-0.15</v>
      </c>
    </row>
    <row r="179" spans="1:6">
      <c r="A179" s="21" t="s">
        <v>372</v>
      </c>
      <c r="B179" s="21"/>
      <c r="C179" s="21">
        <f>(B178+C178)/2</f>
        <v>2183</v>
      </c>
      <c r="D179" s="21"/>
      <c r="E179" s="25"/>
    </row>
    <row r="180" spans="1:6">
      <c r="A180" s="115" t="s">
        <v>371</v>
      </c>
      <c r="B180" s="21"/>
      <c r="C180" s="93">
        <f>365*C179/C177</f>
        <v>16.206</v>
      </c>
      <c r="D180" s="21"/>
      <c r="E180" s="21"/>
    </row>
    <row r="181" spans="1:6">
      <c r="A181" s="115" t="s">
        <v>373</v>
      </c>
      <c r="B181" s="21" t="s">
        <v>374</v>
      </c>
      <c r="C181" s="21" t="s">
        <v>375</v>
      </c>
      <c r="D181" s="21" t="s">
        <v>376</v>
      </c>
    </row>
    <row r="182" spans="1:6">
      <c r="A182" s="21" t="s">
        <v>377</v>
      </c>
      <c r="B182" s="21">
        <v>51</v>
      </c>
      <c r="C182" s="21">
        <v>62</v>
      </c>
      <c r="D182" s="21">
        <v>50000</v>
      </c>
    </row>
    <row r="183" spans="1:6">
      <c r="A183" s="21" t="s">
        <v>378</v>
      </c>
      <c r="B183" s="21">
        <v>62</v>
      </c>
      <c r="C183" s="21" t="s">
        <v>379</v>
      </c>
      <c r="D183" s="21">
        <f>C176</f>
        <v>59000</v>
      </c>
    </row>
    <row r="184" spans="1:6">
      <c r="A184" s="21" t="s">
        <v>380</v>
      </c>
      <c r="B184" s="21" t="s">
        <v>381</v>
      </c>
      <c r="C184" s="21" t="s">
        <v>382</v>
      </c>
      <c r="D184" s="92">
        <f>(C176-C177)</f>
        <v>9833.3333333333285</v>
      </c>
    </row>
    <row r="185" spans="1:6">
      <c r="A185" s="21"/>
      <c r="B185" s="21"/>
      <c r="C185" s="21"/>
      <c r="D185" s="21"/>
    </row>
    <row r="187" spans="1:6">
      <c r="A187" s="122">
        <v>44767</v>
      </c>
    </row>
    <row r="188" spans="1:6" ht="32.25" customHeight="1">
      <c r="A188" s="247" t="s">
        <v>385</v>
      </c>
      <c r="B188" s="246"/>
      <c r="C188" s="246"/>
      <c r="D188" s="246"/>
      <c r="E188" s="246"/>
      <c r="F188" s="246"/>
    </row>
    <row r="189" spans="1:6">
      <c r="A189" s="123" t="s">
        <v>386</v>
      </c>
      <c r="B189" s="69">
        <v>44196</v>
      </c>
      <c r="C189" s="69">
        <v>44561</v>
      </c>
      <c r="D189" s="21" t="s">
        <v>390</v>
      </c>
    </row>
    <row r="190" spans="1:6">
      <c r="A190" s="123" t="s">
        <v>387</v>
      </c>
      <c r="B190" s="248">
        <v>1550</v>
      </c>
      <c r="C190" s="248"/>
      <c r="D190" s="21"/>
    </row>
    <row r="191" spans="1:6">
      <c r="A191" s="123" t="s">
        <v>388</v>
      </c>
      <c r="B191" s="123">
        <v>11000</v>
      </c>
      <c r="C191" s="124">
        <v>11900</v>
      </c>
      <c r="D191" s="21"/>
    </row>
    <row r="192" spans="1:6">
      <c r="A192" s="123" t="s">
        <v>389</v>
      </c>
      <c r="B192" s="123">
        <v>1300</v>
      </c>
      <c r="C192" s="123">
        <v>1450</v>
      </c>
      <c r="D192" s="21"/>
    </row>
    <row r="193" spans="1:6">
      <c r="A193" s="21" t="s">
        <v>391</v>
      </c>
      <c r="B193" s="21"/>
      <c r="C193" s="21">
        <f>(B191+C191)/2</f>
        <v>11450</v>
      </c>
      <c r="D193" s="21"/>
    </row>
    <row r="194" spans="1:6" ht="45">
      <c r="A194" s="100" t="s">
        <v>392</v>
      </c>
      <c r="B194" s="21"/>
      <c r="C194" s="21">
        <f>(C191-C192+B192+B191)/2</f>
        <v>11375</v>
      </c>
      <c r="D194" s="21"/>
    </row>
    <row r="195" spans="1:6">
      <c r="A195" s="100" t="s">
        <v>393</v>
      </c>
      <c r="B195" s="21"/>
      <c r="C195" s="125">
        <f>B190/C193</f>
        <v>0.13537117903930132</v>
      </c>
      <c r="D195" s="21"/>
    </row>
    <row r="196" spans="1:6" ht="30">
      <c r="A196" s="100" t="s">
        <v>394</v>
      </c>
      <c r="B196" s="21"/>
      <c r="C196" s="126">
        <f>B190/C194</f>
        <v>0.13626373626373625</v>
      </c>
      <c r="D196" s="21"/>
    </row>
    <row r="197" spans="1:6" ht="30">
      <c r="A197" s="100" t="s">
        <v>395</v>
      </c>
      <c r="B197" s="21"/>
      <c r="C197" s="24">
        <v>0.13059999999999999</v>
      </c>
      <c r="D197" s="21"/>
    </row>
    <row r="198" spans="1:6" ht="30">
      <c r="A198" s="100" t="s">
        <v>396</v>
      </c>
      <c r="B198" s="21"/>
      <c r="C198" s="21"/>
      <c r="D198" s="24">
        <f>C195-C197</f>
        <v>4.7711790393013265E-3</v>
      </c>
    </row>
    <row r="199" spans="1:6" ht="45">
      <c r="A199" s="100" t="s">
        <v>397</v>
      </c>
      <c r="B199" s="21"/>
      <c r="C199" s="21"/>
      <c r="D199" s="24">
        <f>C196-C197</f>
        <v>5.6637362637362576E-3</v>
      </c>
    </row>
    <row r="201" spans="1:6" ht="23.25" customHeight="1">
      <c r="A201" s="247" t="s">
        <v>398</v>
      </c>
      <c r="B201" s="246"/>
      <c r="C201" s="246"/>
      <c r="D201" s="246"/>
      <c r="E201" s="246"/>
      <c r="F201" s="246"/>
    </row>
    <row r="202" spans="1:6" ht="25.5">
      <c r="A202" s="98" t="s">
        <v>94</v>
      </c>
      <c r="B202" s="99" t="s">
        <v>399</v>
      </c>
      <c r="C202" s="99" t="s">
        <v>400</v>
      </c>
      <c r="D202" s="21" t="s">
        <v>405</v>
      </c>
      <c r="E202" s="21" t="s">
        <v>327</v>
      </c>
    </row>
    <row r="203" spans="1:6">
      <c r="A203" s="98" t="s">
        <v>401</v>
      </c>
      <c r="B203" s="84">
        <v>110000</v>
      </c>
      <c r="C203" s="84">
        <v>110000</v>
      </c>
      <c r="D203" s="62">
        <f>C203-B203</f>
        <v>0</v>
      </c>
      <c r="E203" s="25">
        <f>D203/B203</f>
        <v>0</v>
      </c>
    </row>
    <row r="204" spans="1:6" ht="25.5">
      <c r="A204" s="98" t="s">
        <v>402</v>
      </c>
      <c r="B204" s="84">
        <v>45000</v>
      </c>
      <c r="C204" s="84">
        <v>41000</v>
      </c>
      <c r="D204" s="62">
        <f t="shared" ref="D204:D208" si="17">C204-B204</f>
        <v>-4000</v>
      </c>
      <c r="E204" s="25">
        <f t="shared" ref="E204:E207" si="18">D204/B204</f>
        <v>-8.8888888888888892E-2</v>
      </c>
    </row>
    <row r="205" spans="1:6" ht="25.5">
      <c r="A205" s="98" t="s">
        <v>403</v>
      </c>
      <c r="B205" s="99">
        <v>7000</v>
      </c>
      <c r="C205" s="99">
        <v>6500</v>
      </c>
      <c r="D205" s="62">
        <f t="shared" si="17"/>
        <v>-500</v>
      </c>
      <c r="E205" s="25">
        <f t="shared" si="18"/>
        <v>-7.1428571428571425E-2</v>
      </c>
    </row>
    <row r="206" spans="1:6" ht="51">
      <c r="A206" s="98" t="s">
        <v>404</v>
      </c>
      <c r="B206" s="84">
        <v>16000</v>
      </c>
      <c r="C206" s="84">
        <v>10000</v>
      </c>
      <c r="D206" s="62">
        <f t="shared" si="17"/>
        <v>-6000</v>
      </c>
      <c r="E206" s="25">
        <f t="shared" si="18"/>
        <v>-0.375</v>
      </c>
    </row>
    <row r="207" spans="1:6">
      <c r="A207" s="21" t="s">
        <v>406</v>
      </c>
      <c r="B207" s="62">
        <f>B203-B204-B205-B206</f>
        <v>42000</v>
      </c>
      <c r="C207" s="62">
        <f>C203-C204-C205-C206</f>
        <v>52500</v>
      </c>
      <c r="D207" s="62">
        <f t="shared" si="17"/>
        <v>10500</v>
      </c>
      <c r="E207" s="25">
        <f t="shared" si="18"/>
        <v>0.25</v>
      </c>
    </row>
    <row r="208" spans="1:6">
      <c r="A208" s="21" t="s">
        <v>407</v>
      </c>
      <c r="B208" s="25">
        <f>B207/B203</f>
        <v>0.38181818181818183</v>
      </c>
      <c r="C208" s="25">
        <f>C207/C203</f>
        <v>0.47727272727272729</v>
      </c>
      <c r="D208" s="81">
        <f t="shared" si="17"/>
        <v>9.5454545454545459E-2</v>
      </c>
      <c r="E208" s="25"/>
    </row>
    <row r="209" spans="1:7" ht="30">
      <c r="A209" s="100" t="s">
        <v>408</v>
      </c>
      <c r="B209" s="21"/>
      <c r="C209" s="21"/>
      <c r="D209" s="25">
        <f>-D206/C203</f>
        <v>5.4545454545454543E-2</v>
      </c>
      <c r="E209" s="21"/>
    </row>
    <row r="211" spans="1:7" ht="33" customHeight="1">
      <c r="A211" s="246" t="s">
        <v>409</v>
      </c>
      <c r="B211" s="246"/>
      <c r="C211" s="246"/>
      <c r="D211" s="246"/>
      <c r="E211" s="246"/>
      <c r="F211" s="246"/>
      <c r="G211" s="246"/>
    </row>
    <row r="212" spans="1:7">
      <c r="A212" s="127" t="s">
        <v>410</v>
      </c>
      <c r="B212" s="128" t="s">
        <v>411</v>
      </c>
      <c r="C212" s="128" t="s">
        <v>412</v>
      </c>
      <c r="D212" s="128" t="s">
        <v>413</v>
      </c>
      <c r="E212" s="135" t="s">
        <v>414</v>
      </c>
    </row>
    <row r="213" spans="1:7">
      <c r="A213" s="127" t="s">
        <v>428</v>
      </c>
      <c r="B213" s="136">
        <v>600</v>
      </c>
      <c r="C213" s="136">
        <v>700</v>
      </c>
      <c r="D213" s="29">
        <v>800</v>
      </c>
      <c r="E213" s="29"/>
    </row>
    <row r="214" spans="1:7">
      <c r="A214" s="127" t="s">
        <v>415</v>
      </c>
      <c r="B214" s="136">
        <v>12000</v>
      </c>
      <c r="C214" s="136">
        <v>11800</v>
      </c>
      <c r="D214" s="29">
        <v>9000</v>
      </c>
      <c r="E214" s="29"/>
    </row>
    <row r="215" spans="1:7">
      <c r="A215" s="137" t="s">
        <v>418</v>
      </c>
      <c r="B215" s="138">
        <f>B213*B214</f>
        <v>7200000</v>
      </c>
      <c r="C215" s="138">
        <f t="shared" ref="C215:D215" si="19">C213*C214</f>
        <v>8260000</v>
      </c>
      <c r="D215" s="138">
        <f t="shared" si="19"/>
        <v>7200000</v>
      </c>
      <c r="E215" s="33">
        <f>SUM(B215:D215)</f>
        <v>22660000</v>
      </c>
    </row>
    <row r="216" spans="1:7">
      <c r="A216" s="127" t="s">
        <v>416</v>
      </c>
      <c r="B216" s="136">
        <v>8500</v>
      </c>
      <c r="C216" s="136">
        <v>7200</v>
      </c>
      <c r="D216" s="29">
        <v>7300</v>
      </c>
      <c r="E216" s="29"/>
    </row>
    <row r="217" spans="1:7" ht="25.5">
      <c r="A217" s="139" t="s">
        <v>417</v>
      </c>
      <c r="B217" s="138">
        <f>B216*B213</f>
        <v>5100000</v>
      </c>
      <c r="C217" s="138">
        <f t="shared" ref="C217:D217" si="20">C216*C213</f>
        <v>5040000</v>
      </c>
      <c r="D217" s="138">
        <f t="shared" si="20"/>
        <v>5840000</v>
      </c>
      <c r="E217" s="33">
        <f>SUM(B217:D217)</f>
        <v>15980000</v>
      </c>
    </row>
    <row r="218" spans="1:7">
      <c r="A218" s="113" t="s">
        <v>419</v>
      </c>
      <c r="B218" s="33">
        <f>B219+B221+B223+B224</f>
        <v>1208681.5271074723</v>
      </c>
      <c r="C218" s="33">
        <f t="shared" ref="C218:D218" si="21">C219+C221+C223+C224</f>
        <v>1340959.8494145926</v>
      </c>
      <c r="D218" s="33">
        <f t="shared" si="21"/>
        <v>1250358.6234779353</v>
      </c>
      <c r="E218" s="33">
        <f>E219+E221+E223+E224</f>
        <v>3800000</v>
      </c>
      <c r="F218" s="142">
        <f>SUM(B218:D218)</f>
        <v>3800000.0000000005</v>
      </c>
    </row>
    <row r="219" spans="1:7">
      <c r="A219" s="21" t="s">
        <v>420</v>
      </c>
      <c r="B219" s="29">
        <f>E219*B220</f>
        <v>191489.36170212767</v>
      </c>
      <c r="C219" s="29">
        <f>E219*C220</f>
        <v>189236.54568210262</v>
      </c>
      <c r="D219" s="29">
        <f>E219*D220</f>
        <v>219274.09261576971</v>
      </c>
      <c r="E219" s="29">
        <v>600000</v>
      </c>
      <c r="F219" s="142">
        <f>SUM(B219:D219)</f>
        <v>600000</v>
      </c>
    </row>
    <row r="220" spans="1:7">
      <c r="A220" s="21" t="s">
        <v>424</v>
      </c>
      <c r="B220" s="141">
        <f>B217/E217</f>
        <v>0.31914893617021278</v>
      </c>
      <c r="C220" s="141">
        <f>C217/E217</f>
        <v>0.31539424280350437</v>
      </c>
      <c r="D220" s="141">
        <f>D217/E217</f>
        <v>0.36545682102628285</v>
      </c>
      <c r="E220" s="29">
        <f>SUM(B220:D220)</f>
        <v>1</v>
      </c>
    </row>
    <row r="221" spans="1:7">
      <c r="A221" s="21" t="s">
        <v>421</v>
      </c>
      <c r="B221" s="29">
        <f>E221*B222</f>
        <v>158870.2559576346</v>
      </c>
      <c r="C221" s="29">
        <f>E221*C222</f>
        <v>182259.48808473081</v>
      </c>
      <c r="D221" s="29">
        <f>E221*D222</f>
        <v>158870.2559576346</v>
      </c>
      <c r="E221" s="29">
        <v>500000</v>
      </c>
    </row>
    <row r="222" spans="1:7">
      <c r="A222" s="21" t="s">
        <v>425</v>
      </c>
      <c r="B222" s="141">
        <f>B215/E215</f>
        <v>0.3177405119152692</v>
      </c>
      <c r="C222" s="141">
        <f>C215/E215</f>
        <v>0.36451897616946161</v>
      </c>
      <c r="D222" s="141">
        <f>D215/E215</f>
        <v>0.3177405119152692</v>
      </c>
      <c r="E222" s="29">
        <f>SUM(B222:D222)</f>
        <v>1</v>
      </c>
    </row>
    <row r="223" spans="1:7">
      <c r="A223" s="115" t="s">
        <v>422</v>
      </c>
      <c r="B223" s="29">
        <f>B222*E223</f>
        <v>762577.22859664611</v>
      </c>
      <c r="C223" s="29">
        <f>C222*E223</f>
        <v>874845.5428067079</v>
      </c>
      <c r="D223" s="29">
        <f>D222*E223</f>
        <v>762577.22859664611</v>
      </c>
      <c r="E223" s="29">
        <v>2400000</v>
      </c>
    </row>
    <row r="224" spans="1:7">
      <c r="A224" s="115" t="s">
        <v>423</v>
      </c>
      <c r="B224" s="29">
        <f>B220*E224</f>
        <v>95744.680851063837</v>
      </c>
      <c r="C224" s="29">
        <f>C220*E224</f>
        <v>94618.272841051308</v>
      </c>
      <c r="D224" s="29">
        <f>D220*E224</f>
        <v>109637.04630788486</v>
      </c>
      <c r="E224" s="29">
        <v>300000</v>
      </c>
    </row>
    <row r="225" spans="1:6">
      <c r="A225" s="21" t="s">
        <v>426</v>
      </c>
      <c r="B225" s="29">
        <f>B215-B217</f>
        <v>2100000</v>
      </c>
      <c r="C225" s="29">
        <f t="shared" ref="C225:E225" si="22">C215-C217</f>
        <v>3220000</v>
      </c>
      <c r="D225" s="29">
        <f t="shared" si="22"/>
        <v>1360000</v>
      </c>
      <c r="E225" s="29">
        <f t="shared" si="22"/>
        <v>6680000</v>
      </c>
    </row>
    <row r="226" spans="1:6">
      <c r="A226" s="147" t="s">
        <v>427</v>
      </c>
      <c r="B226" s="148">
        <f>B225-B218</f>
        <v>891318.4728925277</v>
      </c>
      <c r="C226" s="148">
        <f t="shared" ref="C226:E226" si="23">C225-C218</f>
        <v>1879040.1505854074</v>
      </c>
      <c r="D226" s="148">
        <f t="shared" si="23"/>
        <v>109641.37652206467</v>
      </c>
      <c r="E226" s="148">
        <f t="shared" si="23"/>
        <v>2880000</v>
      </c>
    </row>
    <row r="227" spans="1:6">
      <c r="A227" s="144" t="s">
        <v>407</v>
      </c>
      <c r="B227" s="145">
        <f>B226/B215</f>
        <v>0.1237942323461844</v>
      </c>
      <c r="C227" s="145">
        <f t="shared" ref="C227:E227" si="24">C226/C215</f>
        <v>0.22748670103939556</v>
      </c>
      <c r="D227" s="146">
        <f t="shared" si="24"/>
        <v>1.5227968961397871E-2</v>
      </c>
      <c r="E227" s="145">
        <f t="shared" si="24"/>
        <v>0.12709620476610767</v>
      </c>
    </row>
    <row r="228" spans="1:6">
      <c r="A228" s="21" t="s">
        <v>429</v>
      </c>
      <c r="B228" s="29">
        <f>(B218/B225)*B213</f>
        <v>345.33757917356348</v>
      </c>
      <c r="C228" s="29">
        <f t="shared" ref="C228:D228" si="25">(C218/C225)*C213</f>
        <v>291.51301074230275</v>
      </c>
      <c r="D228" s="29">
        <f t="shared" si="25"/>
        <v>735.50507263407962</v>
      </c>
      <c r="E228" s="29"/>
    </row>
    <row r="229" spans="1:6">
      <c r="A229" s="21" t="s">
        <v>430</v>
      </c>
      <c r="B229" s="29">
        <f>B213-B228</f>
        <v>254.66242082643652</v>
      </c>
      <c r="C229" s="29">
        <f t="shared" ref="C229" si="26">C213-C228</f>
        <v>408.48698925769725</v>
      </c>
      <c r="D229" s="29">
        <f>D213-D228</f>
        <v>64.494927365920375</v>
      </c>
      <c r="E229" s="29"/>
    </row>
    <row r="230" spans="1:6">
      <c r="A230" s="21" t="s">
        <v>431</v>
      </c>
      <c r="B230" s="25">
        <f>B229/B213</f>
        <v>0.42443736804406085</v>
      </c>
      <c r="C230" s="25">
        <f t="shared" ref="C230:D230" si="27">C229/C213</f>
        <v>0.5835528417967103</v>
      </c>
      <c r="D230" s="25">
        <f t="shared" si="27"/>
        <v>8.0618659207400467E-2</v>
      </c>
      <c r="E230" s="29"/>
    </row>
    <row r="231" spans="1:6">
      <c r="A231" s="21" t="s">
        <v>432</v>
      </c>
      <c r="B231" s="29">
        <f>(B218/B225)*B215</f>
        <v>4144050.9500827617</v>
      </c>
      <c r="C231" s="29">
        <f t="shared" ref="C231:E231" si="28">(C218/C225)*C215</f>
        <v>3439853.5267591723</v>
      </c>
      <c r="D231" s="29">
        <f t="shared" si="28"/>
        <v>6619545.6537067164</v>
      </c>
      <c r="E231" s="29">
        <f t="shared" si="28"/>
        <v>12890419.161676647</v>
      </c>
    </row>
    <row r="232" spans="1:6">
      <c r="A232" s="21" t="s">
        <v>433</v>
      </c>
      <c r="B232" s="29">
        <f>B215-B231</f>
        <v>3055949.0499172383</v>
      </c>
      <c r="C232" s="29">
        <f>C215-C231</f>
        <v>4820146.4732408281</v>
      </c>
      <c r="D232" s="29">
        <f t="shared" ref="D232:E232" si="29">D215-D231</f>
        <v>580454.34629328363</v>
      </c>
      <c r="E232" s="29">
        <f t="shared" si="29"/>
        <v>9769580.8383233529</v>
      </c>
    </row>
    <row r="233" spans="1:6">
      <c r="A233" s="21" t="s">
        <v>434</v>
      </c>
      <c r="B233" s="25">
        <f>B232/B215</f>
        <v>0.42443736804406085</v>
      </c>
      <c r="C233" s="25">
        <f t="shared" ref="C233:E233" si="30">C232/C215</f>
        <v>0.58355284179671041</v>
      </c>
      <c r="D233" s="25">
        <f t="shared" si="30"/>
        <v>8.0618659207400509E-2</v>
      </c>
      <c r="E233" s="25">
        <f t="shared" si="30"/>
        <v>0.43113772455089816</v>
      </c>
    </row>
    <row r="234" spans="1:6" ht="30">
      <c r="A234" s="129" t="s">
        <v>435</v>
      </c>
      <c r="B234" s="140">
        <f>B225/B226</f>
        <v>2.3560602229919354</v>
      </c>
      <c r="C234" s="140">
        <f t="shared" ref="C234:E234" si="31">C225/C226</f>
        <v>1.7136408708439903</v>
      </c>
      <c r="D234" s="149">
        <f t="shared" si="31"/>
        <v>12.404076299847514</v>
      </c>
      <c r="E234" s="140">
        <f t="shared" si="31"/>
        <v>2.3194444444444446</v>
      </c>
      <c r="F234" t="s">
        <v>437</v>
      </c>
    </row>
    <row r="235" spans="1:6" ht="30">
      <c r="A235" s="129" t="s">
        <v>436</v>
      </c>
      <c r="B235" s="140">
        <f>B215/B226</f>
        <v>8.0779207645437783</v>
      </c>
      <c r="C235" s="140">
        <f t="shared" ref="C235:E235" si="32">C215/C226</f>
        <v>4.3958613643389315</v>
      </c>
      <c r="D235" s="149">
        <f t="shared" si="32"/>
        <v>65.668639234486832</v>
      </c>
      <c r="E235" s="140">
        <f t="shared" si="32"/>
        <v>7.8680555555555554</v>
      </c>
      <c r="F235" t="s">
        <v>438</v>
      </c>
    </row>
    <row r="236" spans="1:6">
      <c r="A236" s="129"/>
      <c r="B236" s="29"/>
      <c r="C236" s="29"/>
      <c r="D236" s="29"/>
      <c r="E236" s="29"/>
    </row>
    <row r="237" spans="1:6" ht="30">
      <c r="A237" s="129" t="s">
        <v>439</v>
      </c>
      <c r="B237" s="29"/>
      <c r="C237" s="29"/>
      <c r="D237" s="29"/>
      <c r="E237" s="29"/>
    </row>
    <row r="238" spans="1:6">
      <c r="A238" s="129" t="s">
        <v>441</v>
      </c>
      <c r="B238" s="29"/>
      <c r="C238" s="29"/>
      <c r="D238" s="29"/>
      <c r="E238" s="29"/>
    </row>
    <row r="239" spans="1:6">
      <c r="A239" s="129" t="s">
        <v>442</v>
      </c>
      <c r="B239" s="81">
        <f>B234*10%</f>
        <v>0.23560602229919356</v>
      </c>
      <c r="C239" s="81">
        <f t="shared" ref="C239:E239" si="33">C234*10%</f>
        <v>0.17136408708439904</v>
      </c>
      <c r="D239" s="81">
        <f t="shared" si="33"/>
        <v>1.2404076299847515</v>
      </c>
      <c r="E239" s="81">
        <f t="shared" si="33"/>
        <v>0.23194444444444448</v>
      </c>
    </row>
    <row r="240" spans="1:6">
      <c r="A240" s="129" t="s">
        <v>443</v>
      </c>
      <c r="B240" s="81">
        <f>B234*(-10%)</f>
        <v>-0.23560602229919356</v>
      </c>
      <c r="C240" s="81">
        <f t="shared" ref="C240:E240" si="34">C234*(-10%)</f>
        <v>-0.17136408708439904</v>
      </c>
      <c r="D240" s="81">
        <f t="shared" si="34"/>
        <v>-1.2404076299847515</v>
      </c>
      <c r="E240" s="81">
        <f t="shared" si="34"/>
        <v>-0.23194444444444448</v>
      </c>
    </row>
    <row r="241" spans="1:6">
      <c r="A241" s="129" t="s">
        <v>440</v>
      </c>
      <c r="B241" s="21"/>
      <c r="C241" s="21"/>
      <c r="D241" s="21"/>
      <c r="E241" s="21"/>
    </row>
    <row r="242" spans="1:6">
      <c r="A242" s="129" t="s">
        <v>444</v>
      </c>
      <c r="B242" s="81">
        <f>B235*10%</f>
        <v>0.80779207645437789</v>
      </c>
      <c r="C242" s="81">
        <f t="shared" ref="C242:D242" si="35">C235*10%</f>
        <v>0.43958613643389316</v>
      </c>
      <c r="D242" s="81">
        <f t="shared" si="35"/>
        <v>6.5668639234486834</v>
      </c>
      <c r="E242" s="81">
        <f t="shared" ref="E242" si="36">E235*10%</f>
        <v>0.78680555555555554</v>
      </c>
    </row>
    <row r="243" spans="1:6">
      <c r="A243" s="129" t="s">
        <v>445</v>
      </c>
      <c r="B243" s="81">
        <f>B235*(-10%)</f>
        <v>-0.80779207645437789</v>
      </c>
      <c r="C243" s="81">
        <f t="shared" ref="C243:D243" si="37">C235*(-10%)</f>
        <v>-0.43958613643389316</v>
      </c>
      <c r="D243" s="81">
        <f t="shared" si="37"/>
        <v>-6.5668639234486834</v>
      </c>
      <c r="E243" s="143">
        <f t="shared" ref="E243" si="38">E235*(-10%)</f>
        <v>-0.78680555555555554</v>
      </c>
    </row>
    <row r="244" spans="1:6">
      <c r="A244" s="129"/>
      <c r="B244" s="21"/>
      <c r="C244" s="21"/>
      <c r="D244" s="21"/>
      <c r="E244" s="21"/>
    </row>
    <row r="245" spans="1:6" ht="30">
      <c r="A245" s="150" t="s">
        <v>446</v>
      </c>
      <c r="B245" s="21"/>
      <c r="C245" s="21"/>
      <c r="D245" s="21"/>
      <c r="E245" s="21"/>
    </row>
    <row r="246" spans="1:6">
      <c r="A246" s="127" t="s">
        <v>410</v>
      </c>
      <c r="B246" s="128" t="s">
        <v>411</v>
      </c>
      <c r="C246" s="128" t="s">
        <v>412</v>
      </c>
      <c r="D246" s="128" t="s">
        <v>413</v>
      </c>
      <c r="E246" s="135" t="s">
        <v>414</v>
      </c>
    </row>
    <row r="247" spans="1:6">
      <c r="A247" s="127" t="s">
        <v>428</v>
      </c>
      <c r="B247" s="136">
        <v>600</v>
      </c>
      <c r="C247" s="136">
        <v>700</v>
      </c>
      <c r="D247" s="29">
        <v>800</v>
      </c>
      <c r="E247" s="29"/>
    </row>
    <row r="248" spans="1:6">
      <c r="A248" s="127" t="s">
        <v>415</v>
      </c>
      <c r="B248" s="136">
        <v>12000</v>
      </c>
      <c r="C248" s="136">
        <v>11800</v>
      </c>
      <c r="D248" s="29">
        <v>9000</v>
      </c>
      <c r="E248" s="29"/>
    </row>
    <row r="249" spans="1:6">
      <c r="A249" s="137" t="s">
        <v>418</v>
      </c>
      <c r="B249" s="138">
        <f>B247*B248</f>
        <v>7200000</v>
      </c>
      <c r="C249" s="138">
        <f t="shared" ref="C249" si="39">C247*C248</f>
        <v>8260000</v>
      </c>
      <c r="D249" s="138">
        <f t="shared" ref="D249" si="40">D247*D248</f>
        <v>7200000</v>
      </c>
      <c r="E249" s="33">
        <f>SUM(B249:D249)</f>
        <v>22660000</v>
      </c>
    </row>
    <row r="250" spans="1:6">
      <c r="A250" s="127" t="s">
        <v>416</v>
      </c>
      <c r="B250" s="136">
        <v>8500</v>
      </c>
      <c r="C250" s="136">
        <v>7200</v>
      </c>
      <c r="D250" s="29">
        <v>7300</v>
      </c>
      <c r="E250" s="29"/>
    </row>
    <row r="251" spans="1:6" ht="25.5">
      <c r="A251" s="139" t="s">
        <v>417</v>
      </c>
      <c r="B251" s="138">
        <f>B250*B247</f>
        <v>5100000</v>
      </c>
      <c r="C251" s="138">
        <f t="shared" ref="C251" si="41">C250*C247</f>
        <v>5040000</v>
      </c>
      <c r="D251" s="138">
        <f t="shared" ref="D251" si="42">D250*D247</f>
        <v>5840000</v>
      </c>
      <c r="E251" s="33">
        <f>SUM(B251:D251)</f>
        <v>15980000</v>
      </c>
    </row>
    <row r="252" spans="1:6">
      <c r="A252" s="113" t="s">
        <v>419</v>
      </c>
      <c r="B252" s="33">
        <f>B253+B255+B257+B258</f>
        <v>1194610.7784431139</v>
      </c>
      <c r="C252" s="33">
        <f t="shared" ref="C252" si="43">C253+C255+C257+C258</f>
        <v>1831736.5269461079</v>
      </c>
      <c r="D252" s="33">
        <f t="shared" ref="D252" si="44">D253+D255+D257+D258</f>
        <v>773652.69461077848</v>
      </c>
      <c r="E252" s="33">
        <f>E253+E255+E257+E258</f>
        <v>3800000</v>
      </c>
      <c r="F252" s="142">
        <f>SUM(B252:D252)</f>
        <v>3800000</v>
      </c>
    </row>
    <row r="253" spans="1:6">
      <c r="A253" s="21" t="s">
        <v>447</v>
      </c>
      <c r="B253" s="29">
        <f>E253*B254</f>
        <v>188622.75449101796</v>
      </c>
      <c r="C253" s="29">
        <f>E253*C254</f>
        <v>289221.55688622757</v>
      </c>
      <c r="D253" s="29">
        <f>E253*D254</f>
        <v>122155.68862275449</v>
      </c>
      <c r="E253" s="29">
        <v>600000</v>
      </c>
      <c r="F253" s="142">
        <f>SUM(B253:D253)</f>
        <v>600000</v>
      </c>
    </row>
    <row r="254" spans="1:6">
      <c r="A254" s="21" t="s">
        <v>448</v>
      </c>
      <c r="B254" s="141">
        <f>B259/E259</f>
        <v>0.31437125748502992</v>
      </c>
      <c r="C254" s="141">
        <f>C259/E259</f>
        <v>0.4820359281437126</v>
      </c>
      <c r="D254" s="141">
        <f>D259/E259</f>
        <v>0.20359281437125748</v>
      </c>
      <c r="E254" s="29">
        <f>SUM(B254:D254)</f>
        <v>1</v>
      </c>
    </row>
    <row r="255" spans="1:6">
      <c r="A255" s="21" t="s">
        <v>449</v>
      </c>
      <c r="B255" s="29">
        <f>E255*B256</f>
        <v>157185.62874251496</v>
      </c>
      <c r="C255" s="29">
        <f>E255*C256</f>
        <v>241017.96407185629</v>
      </c>
      <c r="D255" s="29">
        <f>E255*D256</f>
        <v>101796.40718562873</v>
      </c>
      <c r="E255" s="29">
        <v>500000</v>
      </c>
    </row>
    <row r="256" spans="1:6">
      <c r="A256" s="21" t="s">
        <v>448</v>
      </c>
      <c r="B256" s="141">
        <f>B254</f>
        <v>0.31437125748502992</v>
      </c>
      <c r="C256" s="141">
        <f t="shared" ref="C256:D256" si="45">C254</f>
        <v>0.4820359281437126</v>
      </c>
      <c r="D256" s="141">
        <f t="shared" si="45"/>
        <v>0.20359281437125748</v>
      </c>
      <c r="E256" s="29">
        <f>SUM(B256:D256)</f>
        <v>1</v>
      </c>
    </row>
    <row r="257" spans="1:6">
      <c r="A257" s="115" t="s">
        <v>450</v>
      </c>
      <c r="B257" s="29">
        <f>B256*E257</f>
        <v>754491.01796407183</v>
      </c>
      <c r="C257" s="29">
        <f>C256*E257</f>
        <v>1156886.2275449103</v>
      </c>
      <c r="D257" s="29">
        <f>D256*E257</f>
        <v>488622.75449101796</v>
      </c>
      <c r="E257" s="29">
        <v>2400000</v>
      </c>
    </row>
    <row r="258" spans="1:6">
      <c r="A258" s="115" t="s">
        <v>423</v>
      </c>
      <c r="B258" s="29">
        <f>B254*E258</f>
        <v>94311.377245508978</v>
      </c>
      <c r="C258" s="29">
        <f>C254*E258</f>
        <v>144610.77844311378</v>
      </c>
      <c r="D258" s="29">
        <f>D254*E258</f>
        <v>61077.844311377245</v>
      </c>
      <c r="E258" s="29">
        <v>300000</v>
      </c>
    </row>
    <row r="259" spans="1:6">
      <c r="A259" s="21" t="s">
        <v>426</v>
      </c>
      <c r="B259" s="29">
        <f>B249-B251</f>
        <v>2100000</v>
      </c>
      <c r="C259" s="29">
        <f t="shared" ref="C259:E259" si="46">C249-C251</f>
        <v>3220000</v>
      </c>
      <c r="D259" s="29">
        <f t="shared" si="46"/>
        <v>1360000</v>
      </c>
      <c r="E259" s="29">
        <f t="shared" si="46"/>
        <v>6680000</v>
      </c>
    </row>
    <row r="260" spans="1:6">
      <c r="A260" s="147" t="s">
        <v>427</v>
      </c>
      <c r="B260" s="148">
        <f>B259-B252</f>
        <v>905389.2215568861</v>
      </c>
      <c r="C260" s="148">
        <f t="shared" ref="C260" si="47">C259-C252</f>
        <v>1388263.4730538921</v>
      </c>
      <c r="D260" s="148">
        <f t="shared" ref="D260" si="48">D259-D252</f>
        <v>586347.30538922152</v>
      </c>
      <c r="E260" s="148">
        <f t="shared" ref="E260" si="49">E259-E252</f>
        <v>2880000</v>
      </c>
    </row>
    <row r="261" spans="1:6">
      <c r="A261" s="144" t="s">
        <v>407</v>
      </c>
      <c r="B261" s="145">
        <f>B260/B249</f>
        <v>0.12574850299401197</v>
      </c>
      <c r="C261" s="145">
        <f t="shared" ref="C261" si="50">C260/C249</f>
        <v>0.16807063838424843</v>
      </c>
      <c r="D261" s="146">
        <f t="shared" ref="D261" si="51">D260/D249</f>
        <v>8.1437125748502995E-2</v>
      </c>
      <c r="E261" s="145">
        <f t="shared" ref="E261" si="52">E260/E249</f>
        <v>0.12709620476610767</v>
      </c>
    </row>
    <row r="262" spans="1:6">
      <c r="A262" s="21" t="s">
        <v>429</v>
      </c>
      <c r="B262" s="29">
        <f>(B252/B259)*B247</f>
        <v>341.31736526946111</v>
      </c>
      <c r="C262" s="29">
        <f t="shared" ref="C262:D262" si="53">(C252/C259)*C247</f>
        <v>398.20359281437129</v>
      </c>
      <c r="D262" s="29">
        <f t="shared" si="53"/>
        <v>455.08982035928148</v>
      </c>
      <c r="E262" s="29"/>
    </row>
    <row r="263" spans="1:6">
      <c r="A263" s="21" t="s">
        <v>430</v>
      </c>
      <c r="B263" s="29">
        <f>B247-B262</f>
        <v>258.68263473053889</v>
      </c>
      <c r="C263" s="29">
        <f t="shared" ref="C263" si="54">C247-C262</f>
        <v>301.79640718562871</v>
      </c>
      <c r="D263" s="29">
        <f>D247-D262</f>
        <v>344.91017964071852</v>
      </c>
      <c r="E263" s="29"/>
    </row>
    <row r="264" spans="1:6">
      <c r="A264" s="21" t="s">
        <v>431</v>
      </c>
      <c r="B264" s="25">
        <f>B263/B247</f>
        <v>0.43113772455089816</v>
      </c>
      <c r="C264" s="25">
        <f t="shared" ref="C264" si="55">C263/C247</f>
        <v>0.43113772455089816</v>
      </c>
      <c r="D264" s="25">
        <f t="shared" ref="D264" si="56">D263/D247</f>
        <v>0.43113772455089816</v>
      </c>
      <c r="E264" s="29"/>
    </row>
    <row r="265" spans="1:6">
      <c r="A265" s="21" t="s">
        <v>432</v>
      </c>
      <c r="B265" s="29">
        <f>(B252/B259)*B249</f>
        <v>4095808.3832335332</v>
      </c>
      <c r="C265" s="29">
        <f t="shared" ref="C265:E265" si="57">(C252/C259)*C249</f>
        <v>4698802.3952095816</v>
      </c>
      <c r="D265" s="29">
        <f t="shared" si="57"/>
        <v>4095808.3832335332</v>
      </c>
      <c r="E265" s="29">
        <f t="shared" si="57"/>
        <v>12890419.161676647</v>
      </c>
    </row>
    <row r="266" spans="1:6">
      <c r="A266" s="21" t="s">
        <v>433</v>
      </c>
      <c r="B266" s="29">
        <f>B249-B265</f>
        <v>3104191.6167664668</v>
      </c>
      <c r="C266" s="29">
        <f>C249-C265</f>
        <v>3561197.6047904184</v>
      </c>
      <c r="D266" s="29">
        <f t="shared" ref="D266" si="58">D249-D265</f>
        <v>3104191.6167664668</v>
      </c>
      <c r="E266" s="29">
        <f t="shared" ref="E266" si="59">E249-E265</f>
        <v>9769580.8383233529</v>
      </c>
    </row>
    <row r="267" spans="1:6">
      <c r="A267" s="21" t="s">
        <v>434</v>
      </c>
      <c r="B267" s="25">
        <f>B266/B249</f>
        <v>0.43113772455089816</v>
      </c>
      <c r="C267" s="25">
        <f t="shared" ref="C267" si="60">C266/C249</f>
        <v>0.4311377245508981</v>
      </c>
      <c r="D267" s="25">
        <f t="shared" ref="D267" si="61">D266/D249</f>
        <v>0.43113772455089816</v>
      </c>
      <c r="E267" s="25">
        <f t="shared" ref="E267" si="62">E266/E249</f>
        <v>0.43113772455089816</v>
      </c>
    </row>
    <row r="268" spans="1:6" ht="30">
      <c r="A268" s="129" t="s">
        <v>435</v>
      </c>
      <c r="B268" s="140">
        <f>B259/B260</f>
        <v>2.3194444444444446</v>
      </c>
      <c r="C268" s="140">
        <f t="shared" ref="C268:E268" si="63">C259/C260</f>
        <v>2.3194444444444446</v>
      </c>
      <c r="D268" s="149">
        <f t="shared" si="63"/>
        <v>2.3194444444444446</v>
      </c>
      <c r="E268" s="140">
        <f t="shared" si="63"/>
        <v>2.3194444444444446</v>
      </c>
      <c r="F268" t="s">
        <v>437</v>
      </c>
    </row>
    <row r="269" spans="1:6" ht="30">
      <c r="A269" s="129" t="s">
        <v>436</v>
      </c>
      <c r="B269" s="140">
        <f>B249/B260</f>
        <v>7.9523809523809534</v>
      </c>
      <c r="C269" s="140">
        <f t="shared" ref="C269:E269" si="64">C249/C260</f>
        <v>5.94987922705314</v>
      </c>
      <c r="D269" s="149">
        <f t="shared" si="64"/>
        <v>12.279411764705882</v>
      </c>
      <c r="E269" s="140">
        <f t="shared" si="64"/>
        <v>7.8680555555555554</v>
      </c>
      <c r="F269" t="s">
        <v>438</v>
      </c>
    </row>
    <row r="270" spans="1:6">
      <c r="A270" s="129"/>
      <c r="B270" s="29"/>
      <c r="C270" s="29"/>
      <c r="D270" s="29"/>
      <c r="E270" s="29"/>
    </row>
    <row r="271" spans="1:6" ht="30">
      <c r="A271" s="129" t="s">
        <v>439</v>
      </c>
      <c r="B271" s="29"/>
      <c r="C271" s="29"/>
      <c r="D271" s="29"/>
      <c r="E271" s="29"/>
    </row>
    <row r="272" spans="1:6">
      <c r="A272" s="129" t="s">
        <v>441</v>
      </c>
      <c r="B272" s="29"/>
      <c r="C272" s="29"/>
      <c r="D272" s="29"/>
      <c r="E272" s="29"/>
    </row>
    <row r="273" spans="1:5">
      <c r="A273" s="129" t="s">
        <v>442</v>
      </c>
      <c r="B273" s="81">
        <f>B268*10%</f>
        <v>0.23194444444444448</v>
      </c>
      <c r="C273" s="81">
        <f t="shared" ref="C273:E273" si="65">C268*10%</f>
        <v>0.23194444444444448</v>
      </c>
      <c r="D273" s="81">
        <f t="shared" si="65"/>
        <v>0.23194444444444448</v>
      </c>
      <c r="E273" s="81">
        <f t="shared" si="65"/>
        <v>0.23194444444444448</v>
      </c>
    </row>
    <row r="274" spans="1:5">
      <c r="A274" s="129" t="s">
        <v>443</v>
      </c>
      <c r="B274" s="81">
        <f>B268*(-10%)</f>
        <v>-0.23194444444444448</v>
      </c>
      <c r="C274" s="81">
        <f t="shared" ref="C274:E274" si="66">C268*(-10%)</f>
        <v>-0.23194444444444448</v>
      </c>
      <c r="D274" s="81">
        <f t="shared" si="66"/>
        <v>-0.23194444444444448</v>
      </c>
      <c r="E274" s="81">
        <f t="shared" si="66"/>
        <v>-0.23194444444444448</v>
      </c>
    </row>
    <row r="275" spans="1:5">
      <c r="A275" s="129" t="s">
        <v>440</v>
      </c>
      <c r="B275" s="21"/>
      <c r="C275" s="21"/>
      <c r="D275" s="21"/>
      <c r="E275" s="21"/>
    </row>
    <row r="276" spans="1:5">
      <c r="A276" s="129" t="s">
        <v>444</v>
      </c>
      <c r="B276" s="81">
        <f>B269*10%</f>
        <v>0.79523809523809541</v>
      </c>
      <c r="C276" s="81">
        <f t="shared" ref="C276:E276" si="67">C269*10%</f>
        <v>0.59498792270531398</v>
      </c>
      <c r="D276" s="81">
        <f t="shared" si="67"/>
        <v>1.2279411764705883</v>
      </c>
      <c r="E276" s="81">
        <f t="shared" si="67"/>
        <v>0.78680555555555554</v>
      </c>
    </row>
    <row r="277" spans="1:5">
      <c r="A277" s="129" t="s">
        <v>445</v>
      </c>
      <c r="B277" s="81">
        <f>B269*(-10%)</f>
        <v>-0.79523809523809541</v>
      </c>
      <c r="C277" s="81">
        <f t="shared" ref="C277:E277" si="68">C269*(-10%)</f>
        <v>-0.59498792270531398</v>
      </c>
      <c r="D277" s="81">
        <f t="shared" si="68"/>
        <v>-1.2279411764705883</v>
      </c>
      <c r="E277" s="143">
        <f t="shared" si="68"/>
        <v>-0.78680555555555554</v>
      </c>
    </row>
    <row r="280" spans="1:5">
      <c r="A280" s="152" t="s">
        <v>451</v>
      </c>
      <c r="B280" s="151">
        <v>0.2</v>
      </c>
    </row>
    <row r="281" spans="1:5">
      <c r="A281" s="152" t="s">
        <v>452</v>
      </c>
      <c r="B281" s="151">
        <v>0.15</v>
      </c>
    </row>
    <row r="282" spans="1:5" ht="30">
      <c r="A282" s="152" t="s">
        <v>453</v>
      </c>
      <c r="B282" s="151">
        <f>B280-B281</f>
        <v>5.0000000000000017E-2</v>
      </c>
    </row>
  </sheetData>
  <mergeCells count="25">
    <mergeCell ref="A58:H58"/>
    <mergeCell ref="A59:A60"/>
    <mergeCell ref="B59:C59"/>
    <mergeCell ref="A67:A68"/>
    <mergeCell ref="B67:C67"/>
    <mergeCell ref="D59:E59"/>
    <mergeCell ref="F59:G59"/>
    <mergeCell ref="D67:E67"/>
    <mergeCell ref="F67:G67"/>
    <mergeCell ref="A211:G211"/>
    <mergeCell ref="A188:F188"/>
    <mergeCell ref="B190:C190"/>
    <mergeCell ref="A201:F201"/>
    <mergeCell ref="A78:H78"/>
    <mergeCell ref="A98:F98"/>
    <mergeCell ref="A109:G109"/>
    <mergeCell ref="A110:A111"/>
    <mergeCell ref="B110:C110"/>
    <mergeCell ref="A164:F164"/>
    <mergeCell ref="A174:F174"/>
    <mergeCell ref="A128:E128"/>
    <mergeCell ref="A129:E129"/>
    <mergeCell ref="A139:E139"/>
    <mergeCell ref="A140:F140"/>
    <mergeCell ref="A153:E153"/>
  </mergeCells>
  <hyperlinks>
    <hyperlink ref="A158" location="Par513" tooltip="&lt;7&gt; Отражается расход (доход) по налогу на прибыль." display="Par513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6"/>
  <sheetViews>
    <sheetView topLeftCell="A165" zoomScale="110" zoomScaleNormal="110" workbookViewId="0">
      <selection activeCell="I179" sqref="I179"/>
    </sheetView>
  </sheetViews>
  <sheetFormatPr defaultRowHeight="15"/>
  <cols>
    <col min="1" max="1" width="40.7109375" customWidth="1"/>
    <col min="2" max="2" width="13.5703125" customWidth="1"/>
    <col min="3" max="3" width="21.140625" customWidth="1"/>
    <col min="4" max="4" width="43.85546875" customWidth="1"/>
    <col min="5" max="5" width="16" customWidth="1"/>
    <col min="6" max="6" width="19" customWidth="1"/>
    <col min="7" max="7" width="13.5703125" customWidth="1"/>
    <col min="8" max="8" width="21.42578125" customWidth="1"/>
    <col min="9" max="9" width="24.28515625" customWidth="1"/>
  </cols>
  <sheetData>
    <row r="1" spans="1:15" ht="47.25" customHeight="1">
      <c r="A1" s="265" t="s">
        <v>454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</row>
    <row r="2" spans="1:15" ht="56.25">
      <c r="A2" s="156" t="s">
        <v>410</v>
      </c>
      <c r="B2" s="157" t="s">
        <v>460</v>
      </c>
      <c r="C2" s="157" t="s">
        <v>459</v>
      </c>
      <c r="D2" s="158" t="s">
        <v>458</v>
      </c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</row>
    <row r="3" spans="1:15" ht="18.75">
      <c r="A3" s="156" t="s">
        <v>455</v>
      </c>
      <c r="B3" s="159">
        <f>B4+B5</f>
        <v>90000</v>
      </c>
      <c r="C3" s="159">
        <f t="shared" ref="C3:D3" si="0">C4+C5</f>
        <v>90000</v>
      </c>
      <c r="D3" s="161">
        <f t="shared" si="0"/>
        <v>90000</v>
      </c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</row>
    <row r="4" spans="1:15" ht="18.75">
      <c r="A4" s="156" t="s">
        <v>456</v>
      </c>
      <c r="B4" s="159">
        <v>90000</v>
      </c>
      <c r="C4" s="159">
        <v>60000</v>
      </c>
      <c r="D4" s="160">
        <f>C4</f>
        <v>60000</v>
      </c>
      <c r="E4" s="154"/>
      <c r="F4" s="154" t="s">
        <v>474</v>
      </c>
      <c r="G4" s="154"/>
      <c r="H4" s="154"/>
      <c r="I4" s="154"/>
      <c r="J4" s="154"/>
      <c r="K4" s="154"/>
      <c r="L4" s="154"/>
      <c r="M4" s="154"/>
      <c r="N4" s="154"/>
      <c r="O4" s="154"/>
    </row>
    <row r="5" spans="1:15" ht="37.5">
      <c r="A5" s="167" t="s">
        <v>457</v>
      </c>
      <c r="B5" s="159"/>
      <c r="C5" s="159">
        <v>30000</v>
      </c>
      <c r="D5" s="160">
        <f>C5</f>
        <v>30000</v>
      </c>
      <c r="E5" s="154"/>
      <c r="F5" s="158" t="s">
        <v>473</v>
      </c>
      <c r="G5" s="158">
        <v>1.8</v>
      </c>
      <c r="H5" s="155"/>
      <c r="I5" s="155"/>
      <c r="J5" s="154"/>
      <c r="K5" s="154"/>
      <c r="L5" s="154"/>
      <c r="M5" s="154"/>
      <c r="N5" s="154"/>
      <c r="O5" s="154"/>
    </row>
    <row r="6" spans="1:15" ht="37.5">
      <c r="A6" s="168" t="s">
        <v>406</v>
      </c>
      <c r="B6" s="165">
        <v>20000</v>
      </c>
      <c r="C6" s="160">
        <f>B6</f>
        <v>20000</v>
      </c>
      <c r="D6" s="160">
        <f>C6</f>
        <v>20000</v>
      </c>
      <c r="E6" s="154"/>
      <c r="F6" s="158" t="s">
        <v>472</v>
      </c>
      <c r="G6" s="162">
        <v>0.08</v>
      </c>
      <c r="H6" s="155"/>
      <c r="I6" s="155"/>
      <c r="J6" s="154"/>
      <c r="K6" s="154"/>
      <c r="L6" s="154"/>
      <c r="M6" s="154"/>
      <c r="N6" s="154"/>
      <c r="O6" s="154"/>
    </row>
    <row r="7" spans="1:15" ht="37.5">
      <c r="A7" s="168" t="s">
        <v>461</v>
      </c>
      <c r="B7" s="165">
        <f>SUM(B8:B9)</f>
        <v>0</v>
      </c>
      <c r="C7" s="165">
        <f>SUM(C8:C9)</f>
        <v>6000</v>
      </c>
      <c r="D7" s="165">
        <f>SUM(D8:D9)</f>
        <v>6000.0000000000009</v>
      </c>
      <c r="E7" s="154"/>
      <c r="F7" s="158" t="s">
        <v>471</v>
      </c>
      <c r="G7" s="162">
        <v>0.2</v>
      </c>
      <c r="H7" s="155"/>
      <c r="I7" s="155"/>
      <c r="J7" s="154"/>
      <c r="K7" s="154"/>
      <c r="L7" s="154"/>
      <c r="M7" s="154"/>
      <c r="N7" s="154"/>
      <c r="O7" s="154"/>
    </row>
    <row r="8" spans="1:15" ht="24" customHeight="1">
      <c r="A8" s="169" t="s">
        <v>467</v>
      </c>
      <c r="B8" s="165">
        <v>0</v>
      </c>
      <c r="C8" s="160">
        <f>C5*G7</f>
        <v>6000</v>
      </c>
      <c r="D8" s="160">
        <f>D5*G8</f>
        <v>4320.0000000000009</v>
      </c>
      <c r="E8" s="154"/>
      <c r="F8" s="158" t="s">
        <v>469</v>
      </c>
      <c r="G8" s="163">
        <f>G5*G6</f>
        <v>0.14400000000000002</v>
      </c>
      <c r="H8" s="158" t="s">
        <v>458</v>
      </c>
      <c r="I8" s="155"/>
      <c r="J8" s="154"/>
      <c r="K8" s="154"/>
      <c r="L8" s="154"/>
      <c r="M8" s="154"/>
      <c r="N8" s="154"/>
      <c r="O8" s="154"/>
    </row>
    <row r="9" spans="1:15" ht="18.75">
      <c r="A9" s="169" t="s">
        <v>468</v>
      </c>
      <c r="B9" s="165">
        <v>0</v>
      </c>
      <c r="C9" s="160"/>
      <c r="D9" s="160">
        <f>D5*G9</f>
        <v>1679.9999999999998</v>
      </c>
      <c r="E9" s="154"/>
      <c r="F9" s="158" t="s">
        <v>470</v>
      </c>
      <c r="G9" s="164">
        <f>G7-G8</f>
        <v>5.5999999999999994E-2</v>
      </c>
      <c r="H9" s="155"/>
      <c r="I9" s="155"/>
      <c r="J9" s="154"/>
      <c r="K9" s="154"/>
      <c r="L9" s="154"/>
      <c r="M9" s="154"/>
      <c r="N9" s="154"/>
      <c r="O9" s="154"/>
    </row>
    <row r="10" spans="1:15">
      <c r="A10" s="170" t="s">
        <v>351</v>
      </c>
      <c r="B10" s="166">
        <f>B6-B7</f>
        <v>20000</v>
      </c>
      <c r="C10" s="166">
        <f>C6-C7</f>
        <v>14000</v>
      </c>
      <c r="D10" s="166">
        <f>D6-D7</f>
        <v>14000</v>
      </c>
      <c r="F10" s="131"/>
      <c r="G10" s="131"/>
      <c r="H10" s="131"/>
      <c r="I10" s="131"/>
    </row>
    <row r="11" spans="1:15">
      <c r="A11" s="170" t="s">
        <v>352</v>
      </c>
      <c r="B11" s="166">
        <f>B10+B9</f>
        <v>20000</v>
      </c>
      <c r="C11" s="166">
        <f>C10+C9</f>
        <v>14000</v>
      </c>
      <c r="D11" s="166">
        <f>D10+D9</f>
        <v>15680</v>
      </c>
    </row>
    <row r="12" spans="1:15">
      <c r="A12" s="170" t="s">
        <v>52</v>
      </c>
      <c r="B12" s="166">
        <f>B11*20%</f>
        <v>4000</v>
      </c>
      <c r="C12" s="166">
        <f t="shared" ref="C12:D12" si="1">C11*20%</f>
        <v>2800</v>
      </c>
      <c r="D12" s="166">
        <f t="shared" si="1"/>
        <v>3136</v>
      </c>
    </row>
    <row r="13" spans="1:15">
      <c r="A13" s="170" t="s">
        <v>462</v>
      </c>
      <c r="B13" s="172">
        <f>B10-B12</f>
        <v>16000</v>
      </c>
      <c r="C13" s="166">
        <f t="shared" ref="C13:D13" si="2">C10-C12</f>
        <v>11200</v>
      </c>
      <c r="D13" s="166">
        <f t="shared" si="2"/>
        <v>10864</v>
      </c>
    </row>
    <row r="14" spans="1:15" ht="60">
      <c r="A14" s="170" t="s">
        <v>463</v>
      </c>
      <c r="B14" s="118">
        <f>B13/B4</f>
        <v>0.17777777777777778</v>
      </c>
      <c r="C14" s="118">
        <f t="shared" ref="C14:D14" si="3">C13/C4</f>
        <v>0.18666666666666668</v>
      </c>
      <c r="D14" s="118">
        <f t="shared" si="3"/>
        <v>0.18106666666666665</v>
      </c>
    </row>
    <row r="15" spans="1:15">
      <c r="A15" s="170" t="s">
        <v>464</v>
      </c>
      <c r="B15" s="166"/>
      <c r="C15" s="173">
        <f>C14-B14</f>
        <v>8.8888888888888906E-3</v>
      </c>
      <c r="D15" s="174">
        <f>D14-B14</f>
        <v>3.288888888888869E-3</v>
      </c>
    </row>
    <row r="16" spans="1:15" ht="36">
      <c r="A16" s="171" t="s">
        <v>466</v>
      </c>
      <c r="B16" s="166"/>
      <c r="C16" s="173">
        <f>(1-0.2)*(C17-G7)*(C5/C4)</f>
        <v>8.8888888888888802E-3</v>
      </c>
      <c r="D16" s="174">
        <f>0.8*(D17-G8)*(D5/D4)-G9*(D5/D4)</f>
        <v>3.2888888888888829E-3</v>
      </c>
      <c r="E16" t="s">
        <v>475</v>
      </c>
    </row>
    <row r="17" spans="1:8" ht="30">
      <c r="A17" s="170" t="s">
        <v>465</v>
      </c>
      <c r="B17" s="118">
        <f>B6/B3</f>
        <v>0.22222222222222221</v>
      </c>
      <c r="C17" s="118">
        <f t="shared" ref="C17:D17" si="4">C6/C3</f>
        <v>0.22222222222222221</v>
      </c>
      <c r="D17" s="118">
        <f t="shared" si="4"/>
        <v>0.22222222222222221</v>
      </c>
    </row>
    <row r="18" spans="1:8">
      <c r="A18" s="91" t="s">
        <v>476</v>
      </c>
      <c r="B18" s="29"/>
      <c r="C18" s="29"/>
      <c r="D18" s="29"/>
    </row>
    <row r="19" spans="1:8">
      <c r="A19" s="21" t="s">
        <v>477</v>
      </c>
      <c r="B19" s="24">
        <f>B14+C16</f>
        <v>0.18666666666666668</v>
      </c>
      <c r="C19" s="21"/>
      <c r="D19" s="21"/>
    </row>
    <row r="20" spans="1:8">
      <c r="A20" s="21"/>
      <c r="B20" s="21"/>
      <c r="C20" s="21"/>
      <c r="D20" s="21"/>
    </row>
    <row r="22" spans="1:8" ht="27" customHeight="1">
      <c r="A22" s="246" t="s">
        <v>478</v>
      </c>
      <c r="B22" s="246"/>
      <c r="C22" s="246"/>
      <c r="D22" s="246"/>
      <c r="E22" s="246"/>
      <c r="F22" s="246"/>
      <c r="G22" s="246"/>
      <c r="H22" s="246"/>
    </row>
    <row r="23" spans="1:8">
      <c r="A23" s="133" t="s">
        <v>410</v>
      </c>
      <c r="B23" s="250" t="s">
        <v>479</v>
      </c>
      <c r="C23" s="250"/>
    </row>
    <row r="24" spans="1:8">
      <c r="A24" s="250"/>
      <c r="B24" s="251" t="s">
        <v>480</v>
      </c>
      <c r="C24" s="251" t="s">
        <v>481</v>
      </c>
    </row>
    <row r="25" spans="1:8">
      <c r="A25" s="250"/>
      <c r="B25" s="251"/>
      <c r="C25" s="251"/>
    </row>
    <row r="26" spans="1:8">
      <c r="A26" s="133" t="s">
        <v>487</v>
      </c>
      <c r="B26" s="84">
        <v>87680</v>
      </c>
      <c r="C26" s="84">
        <v>148300</v>
      </c>
    </row>
    <row r="27" spans="1:8">
      <c r="A27" s="133" t="s">
        <v>482</v>
      </c>
      <c r="B27" s="84">
        <v>55400</v>
      </c>
      <c r="C27" s="84">
        <v>79150</v>
      </c>
    </row>
    <row r="28" spans="1:8">
      <c r="A28" s="133" t="s">
        <v>483</v>
      </c>
      <c r="B28" s="84">
        <v>12500</v>
      </c>
      <c r="C28" s="84">
        <v>24000</v>
      </c>
    </row>
    <row r="29" spans="1:8">
      <c r="A29" s="133" t="s">
        <v>484</v>
      </c>
      <c r="B29" s="175">
        <v>0.25</v>
      </c>
      <c r="C29" s="175">
        <v>0.23</v>
      </c>
    </row>
    <row r="30" spans="1:8">
      <c r="A30" s="133" t="s">
        <v>485</v>
      </c>
      <c r="B30" s="175">
        <v>0.13</v>
      </c>
      <c r="C30" s="175">
        <v>0.15</v>
      </c>
    </row>
    <row r="31" spans="1:8" ht="25.5">
      <c r="A31" s="133" t="s">
        <v>486</v>
      </c>
      <c r="B31" s="134">
        <v>1.6</v>
      </c>
      <c r="C31" s="134">
        <v>1.9</v>
      </c>
    </row>
    <row r="32" spans="1:8">
      <c r="A32" s="21" t="s">
        <v>426</v>
      </c>
      <c r="B32" s="62">
        <f>B26-B27</f>
        <v>32280</v>
      </c>
      <c r="C32" s="62">
        <f>C26-C27</f>
        <v>69150</v>
      </c>
    </row>
    <row r="33" spans="1:8">
      <c r="A33" s="115" t="s">
        <v>427</v>
      </c>
      <c r="B33" s="62">
        <f>B32-B28</f>
        <v>19780</v>
      </c>
      <c r="C33" s="176">
        <f>C32-C28</f>
        <v>45150</v>
      </c>
    </row>
    <row r="34" spans="1:8">
      <c r="A34" s="115" t="s">
        <v>407</v>
      </c>
      <c r="B34" s="25">
        <f>B33/B26</f>
        <v>0.22559306569343066</v>
      </c>
      <c r="C34" s="28">
        <f>C33/C26</f>
        <v>0.30445043830074175</v>
      </c>
    </row>
    <row r="35" spans="1:8" ht="30">
      <c r="A35" s="130" t="s">
        <v>435</v>
      </c>
      <c r="B35" s="92">
        <f>B32/B33</f>
        <v>1.6319514661274015</v>
      </c>
      <c r="C35" s="92">
        <f>C32/C33</f>
        <v>1.5315614617940199</v>
      </c>
    </row>
    <row r="36" spans="1:8" ht="30">
      <c r="A36" s="130" t="s">
        <v>436</v>
      </c>
      <c r="B36" s="92">
        <f>B26/B33</f>
        <v>4.4327603640040447</v>
      </c>
      <c r="C36" s="92">
        <f>C26/C33</f>
        <v>3.284606866002215</v>
      </c>
    </row>
    <row r="37" spans="1:8" ht="36">
      <c r="A37" s="171" t="s">
        <v>466</v>
      </c>
      <c r="B37" s="81">
        <f>B38*B39*B40</f>
        <v>0.15360000000000001</v>
      </c>
      <c r="C37" s="81">
        <f>C38*C39*C40</f>
        <v>0.12160000000000003</v>
      </c>
    </row>
    <row r="38" spans="1:8">
      <c r="A38" s="21" t="s">
        <v>488</v>
      </c>
      <c r="B38" s="21">
        <f>1-0.2</f>
        <v>0.8</v>
      </c>
      <c r="C38" s="21">
        <f>1-0.2</f>
        <v>0.8</v>
      </c>
    </row>
    <row r="39" spans="1:8">
      <c r="A39" s="21" t="s">
        <v>489</v>
      </c>
      <c r="B39" s="22">
        <f>B29-B30</f>
        <v>0.12</v>
      </c>
      <c r="C39" s="22">
        <f>C29-C30</f>
        <v>8.0000000000000016E-2</v>
      </c>
    </row>
    <row r="40" spans="1:8">
      <c r="A40" s="21" t="s">
        <v>490</v>
      </c>
      <c r="B40" s="21">
        <f>B31</f>
        <v>1.6</v>
      </c>
      <c r="C40" s="21">
        <f>C31</f>
        <v>1.9</v>
      </c>
    </row>
    <row r="42" spans="1:8" ht="30" customHeight="1">
      <c r="A42" s="247" t="s">
        <v>491</v>
      </c>
      <c r="B42" s="246"/>
      <c r="C42" s="246"/>
      <c r="D42" s="246"/>
      <c r="E42" s="246"/>
      <c r="F42" s="246"/>
      <c r="G42" s="246"/>
      <c r="H42" s="246"/>
    </row>
    <row r="43" spans="1:8" ht="25.5">
      <c r="A43" s="178" t="s">
        <v>492</v>
      </c>
    </row>
    <row r="44" spans="1:8">
      <c r="A44" s="178" t="s">
        <v>493</v>
      </c>
    </row>
    <row r="45" spans="1:8">
      <c r="A45" s="178" t="s">
        <v>494</v>
      </c>
    </row>
    <row r="46" spans="1:8">
      <c r="A46" s="59" t="s">
        <v>94</v>
      </c>
      <c r="B46" s="21">
        <v>1</v>
      </c>
      <c r="C46" s="21">
        <v>2</v>
      </c>
      <c r="D46" s="21" t="s">
        <v>390</v>
      </c>
    </row>
    <row r="47" spans="1:8">
      <c r="A47" s="21" t="s">
        <v>368</v>
      </c>
      <c r="B47" s="21">
        <v>3600</v>
      </c>
      <c r="C47" s="21">
        <v>5400</v>
      </c>
      <c r="D47" s="21">
        <f>C47-B47</f>
        <v>1800</v>
      </c>
    </row>
    <row r="48" spans="1:8">
      <c r="A48" s="21" t="s">
        <v>495</v>
      </c>
      <c r="B48" s="21"/>
      <c r="C48" s="21"/>
      <c r="D48" s="21">
        <f>B47*8%</f>
        <v>288</v>
      </c>
    </row>
    <row r="49" spans="1:10">
      <c r="A49" s="21" t="s">
        <v>496</v>
      </c>
      <c r="B49" s="21"/>
      <c r="C49" s="21"/>
      <c r="D49" s="21">
        <f>D47-D48</f>
        <v>1512</v>
      </c>
    </row>
    <row r="50" spans="1:10">
      <c r="A50" s="21" t="s">
        <v>497</v>
      </c>
      <c r="B50" s="21">
        <f>B47*20/120</f>
        <v>600</v>
      </c>
      <c r="C50" s="21">
        <f>C47*20/120</f>
        <v>900</v>
      </c>
      <c r="D50" s="147">
        <f>C50-B50</f>
        <v>300</v>
      </c>
    </row>
    <row r="51" spans="1:10">
      <c r="A51" s="21" t="s">
        <v>498</v>
      </c>
      <c r="B51" s="21"/>
      <c r="C51" s="21"/>
      <c r="D51" s="21">
        <f>D48*20/120</f>
        <v>48</v>
      </c>
    </row>
    <row r="52" spans="1:10">
      <c r="A52" s="21" t="s">
        <v>499</v>
      </c>
      <c r="B52" s="21"/>
      <c r="C52" s="21"/>
      <c r="D52" s="21">
        <f>D49*20/120</f>
        <v>252</v>
      </c>
    </row>
    <row r="53" spans="1:10">
      <c r="A53" s="21"/>
      <c r="B53" s="21"/>
      <c r="C53" s="21"/>
      <c r="D53" s="147">
        <f>SUM(D51:D52)</f>
        <v>300</v>
      </c>
    </row>
    <row r="55" spans="1:10" ht="51.75" customHeight="1">
      <c r="A55" s="252" t="s">
        <v>500</v>
      </c>
      <c r="B55" s="252"/>
      <c r="C55" s="252"/>
      <c r="D55" s="252"/>
      <c r="E55" s="252"/>
      <c r="F55" s="252"/>
      <c r="G55" s="252"/>
      <c r="H55" s="252"/>
      <c r="I55" s="252"/>
      <c r="J55" s="252"/>
    </row>
    <row r="56" spans="1:10">
      <c r="A56" s="21" t="s">
        <v>94</v>
      </c>
      <c r="B56" s="21" t="s">
        <v>502</v>
      </c>
      <c r="C56" s="21" t="s">
        <v>503</v>
      </c>
      <c r="D56" s="21" t="s">
        <v>504</v>
      </c>
      <c r="E56" s="21" t="s">
        <v>309</v>
      </c>
      <c r="F56" s="180" t="s">
        <v>501</v>
      </c>
    </row>
    <row r="57" spans="1:10">
      <c r="A57" s="21" t="s">
        <v>351</v>
      </c>
      <c r="B57" s="21">
        <v>2900</v>
      </c>
      <c r="C57" s="21">
        <f>B57*(1+0.12)</f>
        <v>3248.0000000000005</v>
      </c>
      <c r="D57" s="21">
        <f>C57-B57</f>
        <v>348.00000000000045</v>
      </c>
      <c r="E57" s="25">
        <f>D57/B57</f>
        <v>0.12000000000000016</v>
      </c>
    </row>
    <row r="58" spans="1:10">
      <c r="A58" s="21" t="s">
        <v>505</v>
      </c>
      <c r="B58" s="21">
        <v>3150</v>
      </c>
      <c r="C58" s="21">
        <f>B58*(1+0.1)</f>
        <v>3465.0000000000005</v>
      </c>
      <c r="D58" s="21">
        <f>C58-B58</f>
        <v>315.00000000000045</v>
      </c>
      <c r="E58" s="25">
        <f>D58/B58</f>
        <v>0.10000000000000014</v>
      </c>
    </row>
    <row r="59" spans="1:10">
      <c r="A59" s="110" t="s">
        <v>354</v>
      </c>
      <c r="B59" s="21">
        <f>B61+B62</f>
        <v>630</v>
      </c>
      <c r="C59" s="21">
        <f>C61+C62</f>
        <v>693.00000000000011</v>
      </c>
      <c r="D59" s="21">
        <f t="shared" ref="D59:D63" si="5">C59-B59</f>
        <v>63.000000000000114</v>
      </c>
      <c r="E59" s="25">
        <f t="shared" ref="E59:E63" si="6">D59/B59</f>
        <v>0.10000000000000019</v>
      </c>
    </row>
    <row r="60" spans="1:10" ht="15.75">
      <c r="A60" s="179" t="s">
        <v>506</v>
      </c>
      <c r="B60" s="21"/>
      <c r="C60" s="21"/>
      <c r="D60" s="21">
        <f t="shared" si="5"/>
        <v>0</v>
      </c>
      <c r="E60" s="25"/>
    </row>
    <row r="61" spans="1:10" ht="15.75">
      <c r="A61" s="111" t="s">
        <v>507</v>
      </c>
      <c r="B61" s="21">
        <f>B58*20%</f>
        <v>630</v>
      </c>
      <c r="C61" s="21">
        <f>C58*20%</f>
        <v>693.00000000000011</v>
      </c>
      <c r="D61" s="21">
        <f t="shared" si="5"/>
        <v>63.000000000000114</v>
      </c>
      <c r="E61" s="25">
        <f t="shared" si="6"/>
        <v>0.10000000000000019</v>
      </c>
    </row>
    <row r="62" spans="1:10" ht="15.75">
      <c r="A62" s="111" t="s">
        <v>54</v>
      </c>
      <c r="B62" s="113">
        <f>0</f>
        <v>0</v>
      </c>
      <c r="C62" s="113">
        <f>0</f>
        <v>0</v>
      </c>
      <c r="D62" s="21">
        <f t="shared" si="5"/>
        <v>0</v>
      </c>
      <c r="E62" s="25"/>
    </row>
    <row r="63" spans="1:10" ht="15.75">
      <c r="A63" s="112" t="s">
        <v>56</v>
      </c>
      <c r="B63" s="21">
        <f>B57-B59</f>
        <v>2270</v>
      </c>
      <c r="C63" s="21">
        <f>C57-C59</f>
        <v>2555.0000000000005</v>
      </c>
      <c r="D63" s="21">
        <f t="shared" si="5"/>
        <v>285.00000000000045</v>
      </c>
      <c r="E63" s="28">
        <f t="shared" si="6"/>
        <v>0.12555066079295174</v>
      </c>
    </row>
    <row r="65" spans="1:8" ht="32.25" customHeight="1">
      <c r="A65" s="246" t="s">
        <v>508</v>
      </c>
      <c r="B65" s="246"/>
      <c r="C65" s="246"/>
      <c r="D65" s="246"/>
      <c r="E65" s="246"/>
      <c r="F65" s="246"/>
      <c r="G65" s="246"/>
      <c r="H65" s="246"/>
    </row>
    <row r="66" spans="1:8" ht="32.25" customHeight="1">
      <c r="A66" s="131"/>
      <c r="B66" s="131"/>
      <c r="C66" s="131"/>
      <c r="D66" s="182" t="s">
        <v>543</v>
      </c>
      <c r="E66" s="131"/>
      <c r="F66" s="131"/>
      <c r="G66" s="131"/>
      <c r="H66" s="131"/>
    </row>
    <row r="67" spans="1:8" ht="51">
      <c r="A67" s="133" t="s">
        <v>509</v>
      </c>
      <c r="B67" s="133" t="s">
        <v>510</v>
      </c>
      <c r="D67" s="73" t="s">
        <v>522</v>
      </c>
      <c r="E67" s="73" t="s">
        <v>523</v>
      </c>
      <c r="F67" s="73" t="s">
        <v>524</v>
      </c>
    </row>
    <row r="68" spans="1:8" ht="25.5">
      <c r="A68" s="133" t="s">
        <v>511</v>
      </c>
      <c r="B68" s="134">
        <v>31</v>
      </c>
      <c r="D68" s="267" t="s">
        <v>525</v>
      </c>
      <c r="E68" s="267"/>
      <c r="F68" s="267"/>
    </row>
    <row r="69" spans="1:8" ht="38.25">
      <c r="A69" s="133" t="s">
        <v>512</v>
      </c>
      <c r="B69" s="134">
        <v>60</v>
      </c>
      <c r="D69" s="73" t="s">
        <v>526</v>
      </c>
      <c r="E69" s="72">
        <f>B76</f>
        <v>76</v>
      </c>
      <c r="F69" s="73"/>
    </row>
    <row r="70" spans="1:8" ht="18.75">
      <c r="A70" s="133" t="s">
        <v>513</v>
      </c>
      <c r="B70" s="134">
        <v>12</v>
      </c>
      <c r="D70" s="268" t="s">
        <v>527</v>
      </c>
      <c r="E70" s="181"/>
      <c r="F70" s="72">
        <f>B68</f>
        <v>31</v>
      </c>
    </row>
    <row r="71" spans="1:8" ht="18.75">
      <c r="A71" s="133" t="s">
        <v>514</v>
      </c>
      <c r="B71" s="134">
        <v>3</v>
      </c>
      <c r="D71" s="268"/>
      <c r="E71" s="181"/>
      <c r="F71" s="72">
        <f>B70</f>
        <v>12</v>
      </c>
    </row>
    <row r="72" spans="1:8" ht="25.5">
      <c r="A72" s="133" t="s">
        <v>515</v>
      </c>
      <c r="B72" s="134">
        <v>46</v>
      </c>
      <c r="D72" s="73" t="s">
        <v>528</v>
      </c>
      <c r="E72" s="181"/>
      <c r="F72" s="72">
        <f>B77</f>
        <v>5</v>
      </c>
    </row>
    <row r="73" spans="1:8" ht="18.75">
      <c r="A73" s="133" t="s">
        <v>516</v>
      </c>
      <c r="B73" s="134">
        <v>25</v>
      </c>
      <c r="D73" s="73" t="s">
        <v>529</v>
      </c>
      <c r="E73" s="181"/>
      <c r="F73" s="72">
        <f>B74</f>
        <v>7</v>
      </c>
    </row>
    <row r="74" spans="1:8">
      <c r="A74" s="133" t="s">
        <v>517</v>
      </c>
      <c r="B74" s="134">
        <v>7</v>
      </c>
      <c r="D74" s="73" t="s">
        <v>530</v>
      </c>
      <c r="E74" s="72">
        <f>SUM(E69:E73)</f>
        <v>76</v>
      </c>
      <c r="F74" s="72">
        <f>SUM(F69:F73)</f>
        <v>55</v>
      </c>
    </row>
    <row r="75" spans="1:8" ht="18.75">
      <c r="A75" s="133" t="s">
        <v>518</v>
      </c>
      <c r="B75" s="132">
        <v>75</v>
      </c>
      <c r="D75" s="73" t="s">
        <v>531</v>
      </c>
      <c r="E75" s="72">
        <f>E74-F74</f>
        <v>21</v>
      </c>
      <c r="F75" s="181"/>
    </row>
    <row r="76" spans="1:8">
      <c r="A76" s="133" t="s">
        <v>519</v>
      </c>
      <c r="B76" s="134">
        <v>76</v>
      </c>
      <c r="D76" s="267" t="s">
        <v>532</v>
      </c>
      <c r="E76" s="267"/>
      <c r="F76" s="267"/>
    </row>
    <row r="77" spans="1:8" ht="18.75">
      <c r="A77" s="133" t="s">
        <v>520</v>
      </c>
      <c r="B77" s="134">
        <v>5</v>
      </c>
      <c r="D77" s="73" t="s">
        <v>533</v>
      </c>
      <c r="E77" s="181"/>
      <c r="F77" s="72">
        <f>B78</f>
        <v>36</v>
      </c>
    </row>
    <row r="78" spans="1:8" ht="25.5">
      <c r="A78" s="133" t="s">
        <v>521</v>
      </c>
      <c r="B78" s="134">
        <v>36</v>
      </c>
      <c r="D78" s="73" t="s">
        <v>534</v>
      </c>
      <c r="E78" s="72">
        <f>E77</f>
        <v>0</v>
      </c>
      <c r="F78" s="72">
        <f>F77</f>
        <v>36</v>
      </c>
    </row>
    <row r="79" spans="1:8" ht="18.75">
      <c r="A79" s="183" t="s">
        <v>542</v>
      </c>
      <c r="B79" s="21"/>
      <c r="D79" s="73" t="s">
        <v>535</v>
      </c>
      <c r="E79" s="72">
        <f>E78-F78</f>
        <v>-36</v>
      </c>
      <c r="F79" s="181"/>
    </row>
    <row r="80" spans="1:8">
      <c r="A80" s="110" t="s">
        <v>541</v>
      </c>
      <c r="B80" s="21">
        <f>B75</f>
        <v>75</v>
      </c>
      <c r="D80" s="267" t="s">
        <v>536</v>
      </c>
      <c r="E80" s="267"/>
      <c r="F80" s="267"/>
    </row>
    <row r="81" spans="1:8" ht="15.75">
      <c r="A81" s="111" t="s">
        <v>41</v>
      </c>
      <c r="B81" s="21">
        <f>B70+B71+B72</f>
        <v>61</v>
      </c>
      <c r="D81" s="73" t="s">
        <v>537</v>
      </c>
      <c r="E81" s="72">
        <f>B69</f>
        <v>60</v>
      </c>
      <c r="F81" s="72">
        <f>B73</f>
        <v>25</v>
      </c>
    </row>
    <row r="82" spans="1:8" ht="15.75">
      <c r="A82" s="111" t="s">
        <v>42</v>
      </c>
      <c r="B82" s="21">
        <f>B80-B81</f>
        <v>14</v>
      </c>
      <c r="D82" s="73" t="s">
        <v>538</v>
      </c>
      <c r="E82" s="72">
        <f>E81</f>
        <v>60</v>
      </c>
      <c r="F82" s="72">
        <f>F81</f>
        <v>25</v>
      </c>
    </row>
    <row r="83" spans="1:8" ht="25.5">
      <c r="A83" s="111" t="s">
        <v>43</v>
      </c>
      <c r="B83" s="21"/>
      <c r="D83" s="73" t="s">
        <v>539</v>
      </c>
      <c r="E83" s="72">
        <f>E82-F82</f>
        <v>35</v>
      </c>
      <c r="F83" s="181"/>
    </row>
    <row r="84" spans="1:8" ht="18.75">
      <c r="A84" s="111" t="s">
        <v>44</v>
      </c>
      <c r="B84" s="21"/>
      <c r="D84" s="73" t="s">
        <v>540</v>
      </c>
      <c r="E84" s="184">
        <f>E83+E79+E75</f>
        <v>20</v>
      </c>
      <c r="F84" s="181"/>
    </row>
    <row r="85" spans="1:8" ht="15.75">
      <c r="A85" s="112" t="s">
        <v>45</v>
      </c>
      <c r="B85" s="21">
        <f>B82-B83-B84</f>
        <v>14</v>
      </c>
      <c r="D85" s="178"/>
    </row>
    <row r="86" spans="1:8" ht="15.75">
      <c r="A86" s="111" t="s">
        <v>48</v>
      </c>
      <c r="B86" s="21">
        <f>B74</f>
        <v>7</v>
      </c>
    </row>
    <row r="87" spans="1:8" ht="15.75">
      <c r="A87" s="112" t="s">
        <v>51</v>
      </c>
      <c r="B87" s="21">
        <f>B85-B86</f>
        <v>7</v>
      </c>
    </row>
    <row r="88" spans="1:8">
      <c r="A88" s="110" t="s">
        <v>354</v>
      </c>
      <c r="B88" s="21">
        <f>B90+B91</f>
        <v>5</v>
      </c>
    </row>
    <row r="89" spans="1:8" ht="15.75">
      <c r="A89" s="179" t="s">
        <v>506</v>
      </c>
      <c r="B89" s="21"/>
    </row>
    <row r="90" spans="1:8" ht="15.75">
      <c r="A90" s="111" t="s">
        <v>507</v>
      </c>
      <c r="B90" s="21">
        <f>B77</f>
        <v>5</v>
      </c>
    </row>
    <row r="91" spans="1:8" ht="15.75">
      <c r="A91" s="111" t="s">
        <v>54</v>
      </c>
      <c r="B91" s="21"/>
    </row>
    <row r="92" spans="1:8" ht="15.75">
      <c r="A92" s="112" t="s">
        <v>56</v>
      </c>
      <c r="B92" s="185">
        <f>B87-B88</f>
        <v>2</v>
      </c>
    </row>
    <row r="95" spans="1:8" ht="31.5" customHeight="1">
      <c r="A95" s="246" t="s">
        <v>544</v>
      </c>
      <c r="B95" s="246"/>
      <c r="C95" s="246"/>
      <c r="D95" s="246"/>
      <c r="E95" s="246"/>
      <c r="F95" s="246"/>
      <c r="G95" s="246"/>
      <c r="H95" s="246"/>
    </row>
    <row r="96" spans="1:8">
      <c r="A96" s="133" t="s">
        <v>1</v>
      </c>
      <c r="B96" s="133">
        <v>1</v>
      </c>
      <c r="C96" s="21" t="s">
        <v>552</v>
      </c>
      <c r="D96" s="21" t="s">
        <v>557</v>
      </c>
    </row>
    <row r="97" spans="1:9">
      <c r="A97" s="133" t="s">
        <v>545</v>
      </c>
      <c r="B97" s="134">
        <v>2600</v>
      </c>
      <c r="C97" s="21">
        <f>B97</f>
        <v>2600</v>
      </c>
      <c r="D97" s="21">
        <f>C97</f>
        <v>2600</v>
      </c>
    </row>
    <row r="98" spans="1:9">
      <c r="A98" s="133" t="s">
        <v>546</v>
      </c>
      <c r="B98" s="134">
        <v>2100</v>
      </c>
      <c r="C98" s="21">
        <f>B98</f>
        <v>2100</v>
      </c>
      <c r="D98" s="21">
        <f t="shared" ref="D98:D103" si="7">C98</f>
        <v>2100</v>
      </c>
    </row>
    <row r="99" spans="1:9">
      <c r="A99" s="133" t="s">
        <v>547</v>
      </c>
      <c r="B99" s="134">
        <v>400</v>
      </c>
      <c r="C99" s="21">
        <f>B99-80</f>
        <v>320</v>
      </c>
      <c r="D99" s="21">
        <f t="shared" si="7"/>
        <v>320</v>
      </c>
    </row>
    <row r="100" spans="1:9" ht="25.5">
      <c r="A100" s="133" t="s">
        <v>548</v>
      </c>
      <c r="B100" s="134">
        <v>90</v>
      </c>
      <c r="C100" s="21">
        <f>B100</f>
        <v>90</v>
      </c>
      <c r="D100" s="21">
        <f t="shared" si="7"/>
        <v>90</v>
      </c>
    </row>
    <row r="101" spans="1:9" ht="25.5">
      <c r="A101" s="133" t="s">
        <v>549</v>
      </c>
      <c r="B101" s="134">
        <v>70</v>
      </c>
      <c r="C101" s="21">
        <f t="shared" ref="C101:C103" si="8">B101</f>
        <v>70</v>
      </c>
      <c r="D101" s="113">
        <f>C101-70</f>
        <v>0</v>
      </c>
    </row>
    <row r="102" spans="1:9">
      <c r="A102" s="133" t="s">
        <v>550</v>
      </c>
      <c r="B102" s="134">
        <v>65</v>
      </c>
      <c r="C102" s="21">
        <f t="shared" si="8"/>
        <v>65</v>
      </c>
      <c r="D102" s="21">
        <f t="shared" si="7"/>
        <v>65</v>
      </c>
    </row>
    <row r="103" spans="1:9">
      <c r="A103" s="133" t="s">
        <v>551</v>
      </c>
      <c r="B103" s="134">
        <v>150</v>
      </c>
      <c r="C103" s="21">
        <f t="shared" si="8"/>
        <v>150</v>
      </c>
      <c r="D103" s="21">
        <f t="shared" si="7"/>
        <v>150</v>
      </c>
    </row>
    <row r="104" spans="1:9">
      <c r="A104" s="21" t="s">
        <v>553</v>
      </c>
      <c r="B104" s="21">
        <f>B99+B100+B101+(B103-B102)</f>
        <v>645</v>
      </c>
      <c r="C104" s="21">
        <f>C99+C100+C101+(C103-C102)</f>
        <v>565</v>
      </c>
      <c r="D104" s="21">
        <f>D99+D100+D101+(D103-D102)</f>
        <v>495</v>
      </c>
    </row>
    <row r="105" spans="1:9">
      <c r="A105" s="21" t="s">
        <v>554</v>
      </c>
      <c r="B105" s="21">
        <f>B97-B98</f>
        <v>500</v>
      </c>
      <c r="C105" s="21">
        <f>C97-C98</f>
        <v>500</v>
      </c>
      <c r="D105" s="21">
        <f>D97-D98</f>
        <v>500</v>
      </c>
    </row>
    <row r="106" spans="1:9">
      <c r="A106" s="21" t="s">
        <v>555</v>
      </c>
      <c r="B106" s="66">
        <f>B105/B104</f>
        <v>0.77519379844961245</v>
      </c>
      <c r="C106" s="66">
        <f>C105/C104</f>
        <v>0.88495575221238942</v>
      </c>
      <c r="D106" s="66">
        <f>D105/D104</f>
        <v>1.0101010101010102</v>
      </c>
    </row>
    <row r="107" spans="1:9">
      <c r="B107" t="s">
        <v>556</v>
      </c>
      <c r="C107" t="s">
        <v>556</v>
      </c>
    </row>
    <row r="109" spans="1:9" ht="33.75" customHeight="1">
      <c r="A109" s="246" t="s">
        <v>565</v>
      </c>
      <c r="B109" s="246"/>
      <c r="C109" s="246"/>
      <c r="D109" s="246"/>
      <c r="E109" s="246"/>
      <c r="F109" s="246"/>
      <c r="G109" s="246"/>
      <c r="H109" s="246"/>
    </row>
    <row r="110" spans="1:9" ht="30.75" customHeight="1">
      <c r="A110" s="266" t="s">
        <v>558</v>
      </c>
      <c r="B110" s="189" t="s">
        <v>559</v>
      </c>
      <c r="C110" s="189" t="s">
        <v>561</v>
      </c>
      <c r="D110" s="266" t="s">
        <v>562</v>
      </c>
      <c r="E110" s="266" t="s">
        <v>563</v>
      </c>
      <c r="F110" s="266" t="s">
        <v>564</v>
      </c>
      <c r="G110" s="21" t="s">
        <v>566</v>
      </c>
      <c r="H110" s="130" t="s">
        <v>567</v>
      </c>
      <c r="I110" s="130" t="s">
        <v>568</v>
      </c>
    </row>
    <row r="111" spans="1:9" ht="18.75" customHeight="1">
      <c r="A111" s="266"/>
      <c r="B111" s="189" t="s">
        <v>560</v>
      </c>
      <c r="C111" s="189" t="s">
        <v>560</v>
      </c>
      <c r="D111" s="266"/>
      <c r="E111" s="266"/>
      <c r="F111" s="266"/>
      <c r="G111" s="21"/>
      <c r="H111" s="21"/>
      <c r="I111" s="21"/>
    </row>
    <row r="112" spans="1:9">
      <c r="A112" s="133">
        <v>2020</v>
      </c>
      <c r="B112" s="133">
        <v>3980</v>
      </c>
      <c r="C112" s="133">
        <v>725</v>
      </c>
      <c r="D112" s="133">
        <v>1020</v>
      </c>
      <c r="E112" s="133">
        <v>1460</v>
      </c>
      <c r="F112" s="190">
        <v>0.08</v>
      </c>
      <c r="G112" s="177">
        <f>G113*(1+F112)</f>
        <v>1.2249360000000002</v>
      </c>
      <c r="H112" s="21">
        <f>B112+C112+D112-E112</f>
        <v>4265</v>
      </c>
      <c r="I112" s="92">
        <f>H112*G112</f>
        <v>5224.3520400000007</v>
      </c>
    </row>
    <row r="113" spans="1:9">
      <c r="A113" s="133">
        <v>2021</v>
      </c>
      <c r="B113" s="133">
        <v>4620</v>
      </c>
      <c r="C113" s="133">
        <v>880</v>
      </c>
      <c r="D113" s="133">
        <v>1325</v>
      </c>
      <c r="E113" s="133">
        <v>1570</v>
      </c>
      <c r="F113" s="190">
        <v>7.0000000000000007E-2</v>
      </c>
      <c r="G113" s="21">
        <f>G114*(1+F113)</f>
        <v>1.1342000000000001</v>
      </c>
      <c r="H113" s="21">
        <f t="shared" ref="H113:H114" si="9">B113+C113+D113-E113</f>
        <v>5255</v>
      </c>
      <c r="I113" s="92">
        <f t="shared" ref="I113:I114" si="10">H113*G113</f>
        <v>5960.2210000000005</v>
      </c>
    </row>
    <row r="114" spans="1:9">
      <c r="A114" s="133">
        <v>2022</v>
      </c>
      <c r="B114" s="133">
        <v>4900</v>
      </c>
      <c r="C114" s="133">
        <v>910</v>
      </c>
      <c r="D114" s="133">
        <v>1500</v>
      </c>
      <c r="E114" s="133">
        <v>1785</v>
      </c>
      <c r="F114" s="190">
        <v>0.06</v>
      </c>
      <c r="G114" s="66">
        <f>1+F114</f>
        <v>1.06</v>
      </c>
      <c r="H114" s="21">
        <f t="shared" si="9"/>
        <v>5525</v>
      </c>
      <c r="I114" s="92">
        <f t="shared" si="10"/>
        <v>5856.5</v>
      </c>
    </row>
    <row r="115" spans="1:9" ht="23.25">
      <c r="A115" s="188"/>
      <c r="F115" t="s">
        <v>569</v>
      </c>
      <c r="I115" s="191">
        <f>SUM(I112:I114)/3</f>
        <v>5680.357680000001</v>
      </c>
    </row>
    <row r="116" spans="1:9">
      <c r="F116" t="s">
        <v>570</v>
      </c>
      <c r="I116" s="191">
        <f>I115-(0+50)/2</f>
        <v>5655.357680000001</v>
      </c>
    </row>
    <row r="118" spans="1:9" ht="38.25" customHeight="1">
      <c r="A118" s="252" t="s">
        <v>571</v>
      </c>
      <c r="B118" s="252"/>
      <c r="C118" s="252"/>
      <c r="D118" s="252"/>
      <c r="E118" s="252"/>
      <c r="F118" s="252"/>
      <c r="G118" s="252"/>
      <c r="H118" s="252"/>
    </row>
    <row r="119" spans="1:9" ht="25.5">
      <c r="A119" s="192" t="s">
        <v>94</v>
      </c>
      <c r="B119" s="192" t="s">
        <v>265</v>
      </c>
      <c r="C119" s="192" t="s">
        <v>572</v>
      </c>
      <c r="D119" s="192" t="s">
        <v>573</v>
      </c>
      <c r="E119" s="192" t="s">
        <v>574</v>
      </c>
    </row>
    <row r="120" spans="1:9">
      <c r="A120" s="193" t="s">
        <v>575</v>
      </c>
      <c r="B120" s="197">
        <v>800</v>
      </c>
      <c r="C120" s="193"/>
      <c r="D120" s="193"/>
      <c r="E120" s="193"/>
    </row>
    <row r="121" spans="1:9">
      <c r="A121" s="193" t="s">
        <v>576</v>
      </c>
      <c r="B121" s="192">
        <f>B120*75%</f>
        <v>600</v>
      </c>
      <c r="C121" s="198">
        <f>B121/B$130</f>
        <v>7.3170731707317069E-2</v>
      </c>
      <c r="D121" s="194">
        <v>0.13</v>
      </c>
      <c r="E121" s="201">
        <f>C121*D121</f>
        <v>9.5121951219512193E-3</v>
      </c>
    </row>
    <row r="122" spans="1:9" ht="25.5">
      <c r="A122" s="193" t="s">
        <v>577</v>
      </c>
      <c r="B122" s="192">
        <f>B120-B121</f>
        <v>200</v>
      </c>
      <c r="C122" s="198">
        <f t="shared" ref="C122:C128" si="11">B122/B$130</f>
        <v>2.4390243902439025E-2</v>
      </c>
      <c r="D122" s="194">
        <v>0.14000000000000001</v>
      </c>
      <c r="E122" s="201">
        <f t="shared" ref="E122:E128" si="12">C122*D122</f>
        <v>3.4146341463414638E-3</v>
      </c>
    </row>
    <row r="123" spans="1:9">
      <c r="A123" s="193" t="s">
        <v>578</v>
      </c>
      <c r="B123" s="192">
        <v>1200</v>
      </c>
      <c r="C123" s="198">
        <f t="shared" si="11"/>
        <v>0.14634146341463414</v>
      </c>
      <c r="D123" s="194">
        <v>0.1</v>
      </c>
      <c r="E123" s="201">
        <f t="shared" si="12"/>
        <v>1.4634146341463414E-2</v>
      </c>
    </row>
    <row r="124" spans="1:9">
      <c r="A124" s="139" t="s">
        <v>579</v>
      </c>
      <c r="B124" s="114">
        <f>SUM(B121:B123)</f>
        <v>2000</v>
      </c>
      <c r="C124" s="199"/>
      <c r="D124" s="139"/>
      <c r="E124" s="202"/>
    </row>
    <row r="125" spans="1:9">
      <c r="A125" s="193" t="s">
        <v>580</v>
      </c>
      <c r="B125" s="192">
        <v>3000</v>
      </c>
      <c r="C125" s="198">
        <f t="shared" si="11"/>
        <v>0.36585365853658536</v>
      </c>
      <c r="D125" s="194">
        <f>(1-0.2)*22%</f>
        <v>0.17600000000000002</v>
      </c>
      <c r="E125" s="201">
        <f t="shared" si="12"/>
        <v>6.4390243902439026E-2</v>
      </c>
    </row>
    <row r="126" spans="1:9">
      <c r="A126" s="193" t="s">
        <v>581</v>
      </c>
      <c r="B126" s="192">
        <v>2000</v>
      </c>
      <c r="C126" s="198">
        <f t="shared" si="11"/>
        <v>0.24390243902439024</v>
      </c>
      <c r="D126" s="195">
        <f>0.8*(500/B126)</f>
        <v>0.2</v>
      </c>
      <c r="E126" s="201">
        <f t="shared" si="12"/>
        <v>4.878048780487805E-2</v>
      </c>
    </row>
    <row r="127" spans="1:9" ht="25.5">
      <c r="A127" s="193" t="s">
        <v>582</v>
      </c>
      <c r="B127" s="192">
        <v>700</v>
      </c>
      <c r="C127" s="198">
        <f t="shared" si="11"/>
        <v>8.5365853658536592E-2</v>
      </c>
      <c r="D127" s="196">
        <f>0.8*(100/B127)</f>
        <v>0.11428571428571428</v>
      </c>
      <c r="E127" s="201">
        <f t="shared" si="12"/>
        <v>9.7560975609756097E-3</v>
      </c>
    </row>
    <row r="128" spans="1:9" ht="25.5">
      <c r="A128" s="193" t="s">
        <v>583</v>
      </c>
      <c r="B128" s="192">
        <v>500</v>
      </c>
      <c r="C128" s="198">
        <f t="shared" si="11"/>
        <v>6.097560975609756E-2</v>
      </c>
      <c r="D128" s="196">
        <f>200/B128</f>
        <v>0.4</v>
      </c>
      <c r="E128" s="201">
        <f t="shared" si="12"/>
        <v>2.4390243902439025E-2</v>
      </c>
    </row>
    <row r="129" spans="1:5">
      <c r="A129" s="139" t="s">
        <v>584</v>
      </c>
      <c r="B129" s="139">
        <f>SUM(B125:B128)</f>
        <v>6200</v>
      </c>
      <c r="C129" s="199"/>
      <c r="D129" s="139"/>
      <c r="E129" s="139"/>
    </row>
    <row r="130" spans="1:5">
      <c r="A130" s="193" t="s">
        <v>585</v>
      </c>
      <c r="B130" s="193">
        <f>B124+B129</f>
        <v>8200</v>
      </c>
      <c r="C130" s="200">
        <f>SUM(C121:C129)</f>
        <v>1</v>
      </c>
      <c r="D130" s="204" t="s">
        <v>586</v>
      </c>
      <c r="E130" s="203">
        <f>SUM(E121:E128)</f>
        <v>0.17487804878048782</v>
      </c>
    </row>
    <row r="131" spans="1:5">
      <c r="D131" t="s">
        <v>587</v>
      </c>
      <c r="E131" s="205">
        <f>2000/B130</f>
        <v>0.24390243902439024</v>
      </c>
    </row>
    <row r="132" spans="1:5">
      <c r="D132" t="s">
        <v>589</v>
      </c>
    </row>
    <row r="134" spans="1:5">
      <c r="A134" t="s">
        <v>588</v>
      </c>
    </row>
    <row r="135" spans="1:5" ht="25.5">
      <c r="A135" s="192" t="s">
        <v>94</v>
      </c>
      <c r="B135" s="192" t="s">
        <v>265</v>
      </c>
      <c r="C135" s="192" t="s">
        <v>572</v>
      </c>
      <c r="D135" s="192" t="s">
        <v>573</v>
      </c>
      <c r="E135" s="192" t="s">
        <v>574</v>
      </c>
    </row>
    <row r="136" spans="1:5">
      <c r="A136" s="193" t="s">
        <v>575</v>
      </c>
      <c r="B136" s="197">
        <v>800</v>
      </c>
      <c r="C136" s="193"/>
      <c r="D136" s="193"/>
      <c r="E136" s="193"/>
    </row>
    <row r="137" spans="1:5">
      <c r="A137" s="193" t="s">
        <v>576</v>
      </c>
      <c r="B137" s="192">
        <f>B136*75%</f>
        <v>600</v>
      </c>
      <c r="C137" s="198">
        <f>B137/B$130</f>
        <v>7.3170731707317069E-2</v>
      </c>
      <c r="D137" s="194">
        <v>0.13</v>
      </c>
      <c r="E137" s="201">
        <f>C137*D137</f>
        <v>9.5121951219512193E-3</v>
      </c>
    </row>
    <row r="138" spans="1:5" ht="25.5">
      <c r="A138" s="193" t="s">
        <v>577</v>
      </c>
      <c r="B138" s="192">
        <f>B136-B137</f>
        <v>200</v>
      </c>
      <c r="C138" s="198">
        <f t="shared" ref="C138:C144" si="13">B138/B$130</f>
        <v>2.4390243902439025E-2</v>
      </c>
      <c r="D138" s="194">
        <v>0.14000000000000001</v>
      </c>
      <c r="E138" s="201">
        <f t="shared" ref="E138:E139" si="14">C138*D138</f>
        <v>3.4146341463414638E-3</v>
      </c>
    </row>
    <row r="139" spans="1:5">
      <c r="A139" s="193" t="s">
        <v>578</v>
      </c>
      <c r="B139" s="192">
        <v>1200</v>
      </c>
      <c r="C139" s="198">
        <f t="shared" si="13"/>
        <v>0.14634146341463414</v>
      </c>
      <c r="D139" s="194">
        <v>0.1</v>
      </c>
      <c r="E139" s="201">
        <f t="shared" si="14"/>
        <v>1.4634146341463414E-2</v>
      </c>
    </row>
    <row r="140" spans="1:5">
      <c r="A140" s="139" t="s">
        <v>579</v>
      </c>
      <c r="B140" s="114">
        <f>SUM(B137:B139)</f>
        <v>2000</v>
      </c>
      <c r="C140" s="199"/>
      <c r="D140" s="139"/>
      <c r="E140" s="202"/>
    </row>
    <row r="141" spans="1:5">
      <c r="A141" s="206" t="s">
        <v>580</v>
      </c>
      <c r="B141" s="192">
        <v>3000</v>
      </c>
      <c r="C141" s="198">
        <f t="shared" si="13"/>
        <v>0.36585365853658536</v>
      </c>
      <c r="D141" s="207">
        <f>(1-0.2)*19%</f>
        <v>0.15200000000000002</v>
      </c>
      <c r="E141" s="201">
        <f t="shared" ref="E141:E144" si="15">C141*D141</f>
        <v>5.5609756097560983E-2</v>
      </c>
    </row>
    <row r="142" spans="1:5">
      <c r="A142" s="206" t="s">
        <v>581</v>
      </c>
      <c r="B142" s="192">
        <v>2000</v>
      </c>
      <c r="C142" s="198">
        <f t="shared" si="13"/>
        <v>0.24390243902439024</v>
      </c>
      <c r="D142" s="208">
        <f>0.8*(19%)</f>
        <v>0.15200000000000002</v>
      </c>
      <c r="E142" s="201">
        <f t="shared" si="15"/>
        <v>3.7073170731707322E-2</v>
      </c>
    </row>
    <row r="143" spans="1:5" ht="25.5">
      <c r="A143" s="193" t="s">
        <v>582</v>
      </c>
      <c r="B143" s="192">
        <v>700</v>
      </c>
      <c r="C143" s="198">
        <f t="shared" si="13"/>
        <v>8.5365853658536592E-2</v>
      </c>
      <c r="D143" s="196">
        <f>0.8*(100/B143)</f>
        <v>0.11428571428571428</v>
      </c>
      <c r="E143" s="201">
        <f t="shared" si="15"/>
        <v>9.7560975609756097E-3</v>
      </c>
    </row>
    <row r="144" spans="1:5" ht="25.5">
      <c r="A144" s="193" t="s">
        <v>583</v>
      </c>
      <c r="B144" s="192">
        <v>500</v>
      </c>
      <c r="C144" s="198">
        <f t="shared" si="13"/>
        <v>6.097560975609756E-2</v>
      </c>
      <c r="D144" s="196">
        <f>200/B144</f>
        <v>0.4</v>
      </c>
      <c r="E144" s="201">
        <f t="shared" si="15"/>
        <v>2.4390243902439025E-2</v>
      </c>
    </row>
    <row r="145" spans="1:5">
      <c r="A145" s="139" t="s">
        <v>584</v>
      </c>
      <c r="B145" s="139">
        <f>SUM(B141:B144)</f>
        <v>6200</v>
      </c>
      <c r="C145" s="199"/>
      <c r="D145" s="139"/>
      <c r="E145" s="139"/>
    </row>
    <row r="146" spans="1:5">
      <c r="A146" s="193" t="s">
        <v>585</v>
      </c>
      <c r="B146" s="193">
        <f>B140+B145</f>
        <v>8200</v>
      </c>
      <c r="C146" s="200">
        <f>SUM(C137:C145)</f>
        <v>1</v>
      </c>
      <c r="D146" s="204" t="s">
        <v>586</v>
      </c>
      <c r="E146" s="210">
        <f>SUM(E137:E144)</f>
        <v>0.15439024390243902</v>
      </c>
    </row>
    <row r="147" spans="1:5">
      <c r="D147" t="s">
        <v>587</v>
      </c>
      <c r="E147" s="205">
        <f>2000/B146</f>
        <v>0.24390243902439024</v>
      </c>
    </row>
    <row r="148" spans="1:5">
      <c r="A148" s="211" t="s">
        <v>590</v>
      </c>
      <c r="D148" t="s">
        <v>589</v>
      </c>
    </row>
    <row r="149" spans="1:5">
      <c r="A149" s="261" t="s">
        <v>591</v>
      </c>
      <c r="B149" s="262"/>
      <c r="C149" s="153"/>
    </row>
    <row r="150" spans="1:5" ht="25.5">
      <c r="A150" s="192" t="s">
        <v>94</v>
      </c>
      <c r="B150" s="192" t="s">
        <v>265</v>
      </c>
      <c r="C150" s="192" t="s">
        <v>572</v>
      </c>
      <c r="D150" s="192" t="s">
        <v>573</v>
      </c>
      <c r="E150" s="192" t="s">
        <v>574</v>
      </c>
    </row>
    <row r="151" spans="1:5">
      <c r="A151" s="193" t="s">
        <v>575</v>
      </c>
      <c r="B151" s="197">
        <v>800</v>
      </c>
      <c r="C151" s="193"/>
      <c r="D151" s="193"/>
      <c r="E151" s="193"/>
    </row>
    <row r="152" spans="1:5">
      <c r="A152" s="193" t="s">
        <v>576</v>
      </c>
      <c r="B152" s="192">
        <f>B151*75%</f>
        <v>600</v>
      </c>
      <c r="C152" s="198">
        <f>B152/B$155</f>
        <v>0.3</v>
      </c>
      <c r="D152" s="194">
        <v>0.13</v>
      </c>
      <c r="E152" s="201">
        <f>C152*D152</f>
        <v>3.9E-2</v>
      </c>
    </row>
    <row r="153" spans="1:5" ht="25.5">
      <c r="A153" s="193" t="s">
        <v>577</v>
      </c>
      <c r="B153" s="192">
        <f>B151-B152</f>
        <v>200</v>
      </c>
      <c r="C153" s="198">
        <f t="shared" ref="C153:C154" si="16">B153/B$155</f>
        <v>0.1</v>
      </c>
      <c r="D153" s="194">
        <v>0.14000000000000001</v>
      </c>
      <c r="E153" s="201">
        <f t="shared" ref="E153:E154" si="17">C153*D153</f>
        <v>1.4000000000000002E-2</v>
      </c>
    </row>
    <row r="154" spans="1:5">
      <c r="A154" s="193" t="s">
        <v>578</v>
      </c>
      <c r="B154" s="192">
        <v>1200</v>
      </c>
      <c r="C154" s="198">
        <f t="shared" si="16"/>
        <v>0.6</v>
      </c>
      <c r="D154" s="194">
        <v>0.1</v>
      </c>
      <c r="E154" s="201">
        <f t="shared" si="17"/>
        <v>0.06</v>
      </c>
    </row>
    <row r="155" spans="1:5">
      <c r="A155" s="139" t="s">
        <v>579</v>
      </c>
      <c r="B155" s="114">
        <f>SUM(B152:B154)</f>
        <v>2000</v>
      </c>
      <c r="C155" s="199">
        <f>SUM(C152:C154)</f>
        <v>1</v>
      </c>
      <c r="D155" s="212" t="s">
        <v>592</v>
      </c>
      <c r="E155" s="202">
        <f>SUM(E152:E154)</f>
        <v>0.113</v>
      </c>
    </row>
    <row r="156" spans="1:5">
      <c r="A156" s="193" t="s">
        <v>580</v>
      </c>
      <c r="B156" s="192">
        <v>3000</v>
      </c>
      <c r="C156" s="198">
        <f>B156/B$160</f>
        <v>0.4838709677419355</v>
      </c>
      <c r="D156" s="194">
        <f>(1-0.2)*22%</f>
        <v>0.17600000000000002</v>
      </c>
      <c r="E156" s="201">
        <f t="shared" ref="E156:E159" si="18">C156*D156</f>
        <v>8.5161290322580657E-2</v>
      </c>
    </row>
    <row r="157" spans="1:5">
      <c r="A157" s="193" t="s">
        <v>581</v>
      </c>
      <c r="B157" s="192">
        <v>2000</v>
      </c>
      <c r="C157" s="198">
        <f t="shared" ref="C157:C159" si="19">B157/B$160</f>
        <v>0.32258064516129031</v>
      </c>
      <c r="D157" s="195">
        <f>0.8*(500/B157)</f>
        <v>0.2</v>
      </c>
      <c r="E157" s="201">
        <f t="shared" si="18"/>
        <v>6.4516129032258063E-2</v>
      </c>
    </row>
    <row r="158" spans="1:5" ht="25.5">
      <c r="A158" s="193" t="s">
        <v>582</v>
      </c>
      <c r="B158" s="192">
        <v>700</v>
      </c>
      <c r="C158" s="198">
        <f t="shared" si="19"/>
        <v>0.11290322580645161</v>
      </c>
      <c r="D158" s="196">
        <f>0.8*(100/B158)</f>
        <v>0.11428571428571428</v>
      </c>
      <c r="E158" s="201">
        <f t="shared" si="18"/>
        <v>1.2903225806451613E-2</v>
      </c>
    </row>
    <row r="159" spans="1:5" ht="25.5">
      <c r="A159" s="193" t="s">
        <v>583</v>
      </c>
      <c r="B159" s="192">
        <v>500</v>
      </c>
      <c r="C159" s="198">
        <f t="shared" si="19"/>
        <v>8.0645161290322578E-2</v>
      </c>
      <c r="D159" s="196">
        <f>200/B159</f>
        <v>0.4</v>
      </c>
      <c r="E159" s="201">
        <f t="shared" si="18"/>
        <v>3.2258064516129031E-2</v>
      </c>
    </row>
    <row r="160" spans="1:5">
      <c r="A160" s="139" t="s">
        <v>584</v>
      </c>
      <c r="B160" s="139">
        <f>SUM(B156:B159)</f>
        <v>6200</v>
      </c>
      <c r="C160" s="199">
        <f>SUM(C156:C159)</f>
        <v>1</v>
      </c>
      <c r="D160" s="213" t="s">
        <v>593</v>
      </c>
      <c r="E160" s="209">
        <f>SUM(E156:E159)</f>
        <v>0.19483870967741937</v>
      </c>
    </row>
    <row r="161" spans="1:8">
      <c r="A161" s="193" t="s">
        <v>585</v>
      </c>
      <c r="B161" s="193">
        <f>B155+B160</f>
        <v>8200</v>
      </c>
      <c r="C161" s="200">
        <f>SUM(C152:C160)</f>
        <v>4</v>
      </c>
      <c r="D161" s="204"/>
      <c r="E161" s="203"/>
    </row>
    <row r="162" spans="1:8">
      <c r="D162" t="s">
        <v>587</v>
      </c>
      <c r="E162" s="205">
        <f>2000/B161</f>
        <v>0.24390243902439024</v>
      </c>
    </row>
    <row r="163" spans="1:8">
      <c r="D163" t="s">
        <v>589</v>
      </c>
    </row>
    <row r="164" spans="1:8" ht="45.75" customHeight="1">
      <c r="A164" s="252" t="s">
        <v>594</v>
      </c>
      <c r="B164" s="252"/>
      <c r="C164" s="252"/>
      <c r="D164" s="252"/>
      <c r="E164" s="252"/>
      <c r="F164" s="252"/>
      <c r="G164" s="252"/>
    </row>
    <row r="165" spans="1:8" ht="15.75" thickBot="1"/>
    <row r="166" spans="1:8">
      <c r="A166" s="214" t="s">
        <v>595</v>
      </c>
      <c r="B166" s="216" t="s">
        <v>597</v>
      </c>
      <c r="C166" s="216" t="s">
        <v>599</v>
      </c>
      <c r="D166" s="216" t="s">
        <v>601</v>
      </c>
      <c r="E166" s="263" t="s">
        <v>602</v>
      </c>
    </row>
    <row r="167" spans="1:8" ht="15.75" thickBot="1">
      <c r="A167" s="215" t="s">
        <v>596</v>
      </c>
      <c r="B167" s="217" t="s">
        <v>598</v>
      </c>
      <c r="C167" s="217" t="s">
        <v>600</v>
      </c>
      <c r="D167" s="217" t="s">
        <v>598</v>
      </c>
      <c r="E167" s="264"/>
    </row>
    <row r="168" spans="1:8" ht="19.5" thickBot="1">
      <c r="A168" s="218" t="s">
        <v>603</v>
      </c>
      <c r="B168" s="219">
        <v>21000</v>
      </c>
      <c r="C168" s="220"/>
      <c r="D168" s="220"/>
      <c r="E168" s="219"/>
    </row>
    <row r="169" spans="1:8" ht="15.75" thickBot="1">
      <c r="A169" s="218" t="s">
        <v>604</v>
      </c>
      <c r="B169" s="219">
        <f>B168/3</f>
        <v>7000</v>
      </c>
      <c r="C169" s="219">
        <f>B169</f>
        <v>7000</v>
      </c>
      <c r="D169" s="219">
        <f>C169</f>
        <v>7000</v>
      </c>
      <c r="E169" s="219">
        <f>SUM(B169:D169)</f>
        <v>21000</v>
      </c>
    </row>
    <row r="170" spans="1:8" ht="19.5" thickBot="1">
      <c r="A170" s="218" t="s">
        <v>605</v>
      </c>
      <c r="B170" s="224">
        <f>1/(1+0.1/12)^0</f>
        <v>1</v>
      </c>
      <c r="C170" s="224">
        <f>1/(1+0.1/12)^1</f>
        <v>0.99173553719008267</v>
      </c>
      <c r="D170" s="224">
        <f>1/(1+0.1/12)^2</f>
        <v>0.98353937572570183</v>
      </c>
      <c r="E170" s="220"/>
    </row>
    <row r="171" spans="1:8" ht="15.75" thickBot="1">
      <c r="A171" s="218" t="s">
        <v>606</v>
      </c>
      <c r="B171" s="219">
        <f>B169*B170</f>
        <v>7000</v>
      </c>
      <c r="C171" s="219">
        <f t="shared" ref="C171:D171" si="20">C169*C170</f>
        <v>6942.1487603305786</v>
      </c>
      <c r="D171" s="219">
        <f t="shared" si="20"/>
        <v>6884.7756300799128</v>
      </c>
      <c r="E171" s="221">
        <f>SUM(B171:D171)</f>
        <v>20826.924390410491</v>
      </c>
    </row>
    <row r="172" spans="1:8" ht="19.5" thickBot="1">
      <c r="A172" s="222" t="s">
        <v>607</v>
      </c>
      <c r="B172" s="221">
        <f>E169-E171</f>
        <v>173.07560958950853</v>
      </c>
      <c r="C172" s="223"/>
      <c r="D172" s="223"/>
      <c r="E172" s="223"/>
    </row>
    <row r="174" spans="1:8" ht="77.25" customHeight="1">
      <c r="A174" s="252" t="s">
        <v>608</v>
      </c>
      <c r="B174" s="252"/>
      <c r="C174" s="252"/>
      <c r="D174" s="252"/>
      <c r="E174" s="252"/>
      <c r="F174" s="252"/>
      <c r="G174" s="252"/>
      <c r="H174" s="252"/>
    </row>
    <row r="175" spans="1:8">
      <c r="A175" s="21" t="s">
        <v>94</v>
      </c>
      <c r="B175" s="21">
        <v>1</v>
      </c>
      <c r="C175" s="21">
        <v>2</v>
      </c>
      <c r="D175" s="21">
        <v>3</v>
      </c>
      <c r="E175" s="115"/>
      <c r="F175" s="21"/>
    </row>
    <row r="176" spans="1:8">
      <c r="A176" s="21" t="s">
        <v>472</v>
      </c>
      <c r="B176" s="22">
        <v>0.11</v>
      </c>
      <c r="C176" s="22">
        <v>0.1</v>
      </c>
      <c r="D176" s="22">
        <v>0.18</v>
      </c>
      <c r="E176" s="21"/>
      <c r="F176" s="21"/>
    </row>
    <row r="177" spans="1:6">
      <c r="A177" s="21" t="s">
        <v>617</v>
      </c>
      <c r="B177" s="25">
        <f>B176/2</f>
        <v>5.5E-2</v>
      </c>
      <c r="C177" s="25">
        <f t="shared" ref="C177:D177" si="21">C176/2</f>
        <v>0.05</v>
      </c>
      <c r="D177" s="25">
        <f t="shared" si="21"/>
        <v>0.09</v>
      </c>
      <c r="E177" s="21"/>
      <c r="F177" s="21"/>
    </row>
    <row r="178" spans="1:6">
      <c r="A178" s="21" t="s">
        <v>609</v>
      </c>
      <c r="B178" s="22">
        <v>0.11</v>
      </c>
      <c r="C178" s="22">
        <v>0.12</v>
      </c>
      <c r="D178" s="22">
        <v>0.1</v>
      </c>
      <c r="E178" s="21"/>
      <c r="F178" s="21"/>
    </row>
    <row r="179" spans="1:6">
      <c r="A179" s="21" t="s">
        <v>610</v>
      </c>
      <c r="B179" s="21">
        <v>100000</v>
      </c>
      <c r="C179" s="21"/>
      <c r="D179" s="21"/>
      <c r="E179" s="21"/>
      <c r="F179" s="21"/>
    </row>
    <row r="180" spans="1:6">
      <c r="A180" s="21" t="s">
        <v>611</v>
      </c>
      <c r="B180" s="92">
        <f>B179/3</f>
        <v>33333.333333333336</v>
      </c>
      <c r="C180" s="92">
        <f>B180</f>
        <v>33333.333333333336</v>
      </c>
      <c r="D180" s="92">
        <f>C180</f>
        <v>33333.333333333336</v>
      </c>
      <c r="E180" s="92">
        <f t="shared" ref="E180:E182" si="22">SUM(B180:D180)</f>
        <v>100000</v>
      </c>
      <c r="F180" s="21"/>
    </row>
    <row r="181" spans="1:6">
      <c r="A181" s="21" t="s">
        <v>612</v>
      </c>
      <c r="B181" s="21">
        <f>B179</f>
        <v>100000</v>
      </c>
      <c r="C181" s="92">
        <f>B181-B180</f>
        <v>66666.666666666657</v>
      </c>
      <c r="D181" s="92">
        <f>C181-C180</f>
        <v>33333.333333333321</v>
      </c>
      <c r="E181" s="92"/>
      <c r="F181" s="21"/>
    </row>
    <row r="182" spans="1:6">
      <c r="A182" s="21" t="s">
        <v>613</v>
      </c>
      <c r="B182" s="21">
        <f>B177*B181</f>
        <v>5500</v>
      </c>
      <c r="C182" s="93">
        <f>C177*C181</f>
        <v>3333.333333333333</v>
      </c>
      <c r="D182" s="21">
        <f t="shared" ref="D182" si="23">D177*D181</f>
        <v>2999.9999999999986</v>
      </c>
      <c r="E182" s="92">
        <f t="shared" si="22"/>
        <v>11833.33333333333</v>
      </c>
      <c r="F182" s="21"/>
    </row>
    <row r="183" spans="1:6">
      <c r="A183" s="21" t="s">
        <v>614</v>
      </c>
      <c r="B183" s="92">
        <f>B182+B180</f>
        <v>38833.333333333336</v>
      </c>
      <c r="C183" s="92">
        <f t="shared" ref="C183:D183" si="24">C182+C180</f>
        <v>36666.666666666672</v>
      </c>
      <c r="D183" s="92">
        <f t="shared" si="24"/>
        <v>36333.333333333336</v>
      </c>
      <c r="E183" s="92">
        <f>SUM(B183:D183)</f>
        <v>111833.33333333334</v>
      </c>
      <c r="F183" s="21"/>
    </row>
    <row r="184" spans="1:6">
      <c r="A184" s="21" t="s">
        <v>605</v>
      </c>
      <c r="B184" s="177">
        <f>1/(1+B178)^B175</f>
        <v>0.9009009009009008</v>
      </c>
      <c r="C184" s="177">
        <f>B184/(1+C178)</f>
        <v>0.80437580437580425</v>
      </c>
      <c r="D184" s="177">
        <f>C184/(1+D178)</f>
        <v>0.73125073125073103</v>
      </c>
      <c r="E184" s="21"/>
      <c r="F184" s="21"/>
    </row>
    <row r="185" spans="1:6">
      <c r="A185" s="21" t="s">
        <v>615</v>
      </c>
      <c r="B185" s="92">
        <f>B183*B184</f>
        <v>34984.984984984985</v>
      </c>
      <c r="C185" s="92">
        <f t="shared" ref="C185:D185" si="25">C183*C184</f>
        <v>29493.779493779493</v>
      </c>
      <c r="D185" s="92">
        <f t="shared" si="25"/>
        <v>26568.776568776564</v>
      </c>
      <c r="E185" s="92">
        <f>SUM(B185:D185)</f>
        <v>91047.541047541046</v>
      </c>
      <c r="F185" s="21"/>
    </row>
    <row r="186" spans="1:6" ht="30">
      <c r="A186" s="30" t="s">
        <v>616</v>
      </c>
      <c r="B186" s="225">
        <f>E180-E185</f>
        <v>8952.4589524589537</v>
      </c>
      <c r="C186" s="21"/>
      <c r="D186" s="21"/>
      <c r="E186" s="21"/>
      <c r="F186" s="21"/>
    </row>
  </sheetData>
  <mergeCells count="24">
    <mergeCell ref="A110:A111"/>
    <mergeCell ref="D110:D111"/>
    <mergeCell ref="E110:E111"/>
    <mergeCell ref="F110:F111"/>
    <mergeCell ref="A42:H42"/>
    <mergeCell ref="A55:J55"/>
    <mergeCell ref="A65:H65"/>
    <mergeCell ref="D68:F68"/>
    <mergeCell ref="D70:D71"/>
    <mergeCell ref="D76:F76"/>
    <mergeCell ref="D80:F80"/>
    <mergeCell ref="A95:H95"/>
    <mergeCell ref="A109:H109"/>
    <mergeCell ref="A1:O1"/>
    <mergeCell ref="A22:H22"/>
    <mergeCell ref="B23:C23"/>
    <mergeCell ref="A24:A25"/>
    <mergeCell ref="B24:B25"/>
    <mergeCell ref="C24:C25"/>
    <mergeCell ref="A118:H118"/>
    <mergeCell ref="A149:B149"/>
    <mergeCell ref="A164:G164"/>
    <mergeCell ref="E166:E167"/>
    <mergeCell ref="A174:H174"/>
  </mergeCells>
  <hyperlinks>
    <hyperlink ref="A59" location="Par513" tooltip="&lt;7&gt; Отражается расход (доход) по налогу на прибыль." display="Par513"/>
    <hyperlink ref="A80" location="Par511" tooltip="&lt;5&gt; Выручка отражается за минусом налога на добавленную стоимость акцизов." display="Par511"/>
    <hyperlink ref="A88" location="Par513" tooltip="&lt;7&gt; Отражается расход (доход) по налогу на прибыль." display="Par513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Sheet1</vt:lpstr>
      <vt:lpstr>Лист1</vt:lpstr>
      <vt:lpstr>Практика</vt:lpstr>
      <vt:lpstr>Практика 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2023-01-10T21:32:14Z</dcterms:modified>
</cp:coreProperties>
</file>