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24" i="1" l="1"/>
  <c r="C324" i="1"/>
  <c r="C342" i="1"/>
  <c r="B343" i="1"/>
  <c r="F335" i="1"/>
  <c r="D335" i="1"/>
  <c r="F334" i="1"/>
  <c r="D334" i="1"/>
  <c r="D333" i="1" s="1"/>
  <c r="C334" i="1"/>
  <c r="C333" i="1"/>
  <c r="B333" i="1"/>
  <c r="B336" i="1" s="1"/>
  <c r="C332" i="1"/>
  <c r="C343" i="1" s="1"/>
  <c r="D329" i="1"/>
  <c r="C329" i="1"/>
  <c r="C325" i="1"/>
  <c r="D325" i="1"/>
  <c r="B325" i="1"/>
  <c r="D323" i="1"/>
  <c r="C323" i="1"/>
  <c r="C322" i="1"/>
  <c r="D322" i="1"/>
  <c r="B322" i="1"/>
  <c r="D319" i="1"/>
  <c r="C318" i="1"/>
  <c r="C319" i="1" s="1"/>
  <c r="C320" i="1" s="1"/>
  <c r="D318" i="1"/>
  <c r="D320" i="1" s="1"/>
  <c r="D321" i="1" s="1"/>
  <c r="B321" i="1"/>
  <c r="B320" i="1"/>
  <c r="B319" i="1"/>
  <c r="B318" i="1"/>
  <c r="D317" i="1"/>
  <c r="D316" i="1"/>
  <c r="C316" i="1"/>
  <c r="C315" i="1"/>
  <c r="B315" i="1"/>
  <c r="F317" i="1"/>
  <c r="F316" i="1"/>
  <c r="D314" i="1"/>
  <c r="C314" i="1"/>
  <c r="D311" i="1"/>
  <c r="C311" i="1"/>
  <c r="G299" i="1"/>
  <c r="G298" i="1"/>
  <c r="C305" i="1"/>
  <c r="C306" i="1"/>
  <c r="B306" i="1"/>
  <c r="B305" i="1"/>
  <c r="C304" i="1"/>
  <c r="B304" i="1"/>
  <c r="C303" i="1"/>
  <c r="B303" i="1"/>
  <c r="C302" i="1"/>
  <c r="B302" i="1"/>
  <c r="C301" i="1"/>
  <c r="B301" i="1"/>
  <c r="C299" i="1"/>
  <c r="C300" i="1" s="1"/>
  <c r="B300" i="1"/>
  <c r="B299" i="1"/>
  <c r="C297" i="1"/>
  <c r="C298" i="1"/>
  <c r="B298" i="1"/>
  <c r="B297" i="1"/>
  <c r="C295" i="1"/>
  <c r="B295" i="1"/>
  <c r="C293" i="1"/>
  <c r="B293" i="1"/>
  <c r="C285" i="1"/>
  <c r="B285" i="1"/>
  <c r="C286" i="1"/>
  <c r="B286" i="1"/>
  <c r="C283" i="1"/>
  <c r="B283" i="1"/>
  <c r="C282" i="1"/>
  <c r="B282" i="1"/>
  <c r="B337" i="1" l="1"/>
  <c r="B338" i="1" s="1"/>
  <c r="B339" i="1"/>
  <c r="B340" i="1" s="1"/>
  <c r="D332" i="1"/>
  <c r="C336" i="1"/>
  <c r="C321" i="1"/>
  <c r="D315" i="1"/>
  <c r="C337" i="1" l="1"/>
  <c r="C338" i="1" s="1"/>
  <c r="C339" i="1" s="1"/>
  <c r="C340" i="1" s="1"/>
  <c r="C341" i="1" s="1"/>
  <c r="D343" i="1"/>
  <c r="D342" i="1" s="1"/>
  <c r="D336" i="1"/>
  <c r="D337" i="1" l="1"/>
  <c r="D338" i="1" s="1"/>
  <c r="D339" i="1" s="1"/>
  <c r="D340" i="1" s="1"/>
  <c r="D341" i="1" s="1"/>
  <c r="C271" i="1" l="1"/>
  <c r="C272" i="1" s="1"/>
  <c r="B278" i="1"/>
  <c r="B277" i="1"/>
  <c r="B276" i="1"/>
  <c r="B275" i="1"/>
  <c r="B274" i="1"/>
  <c r="B273" i="1"/>
  <c r="B272" i="1"/>
  <c r="B271" i="1"/>
  <c r="C270" i="1"/>
  <c r="B270" i="1"/>
  <c r="C261" i="1"/>
  <c r="C260" i="1"/>
  <c r="D263" i="1"/>
  <c r="D262" i="1"/>
  <c r="C263" i="1"/>
  <c r="C262" i="1"/>
  <c r="C252" i="1"/>
  <c r="C251" i="1"/>
  <c r="E250" i="1"/>
  <c r="D250" i="1"/>
  <c r="C250" i="1"/>
  <c r="C249" i="1"/>
  <c r="D244" i="1"/>
  <c r="C244" i="1"/>
  <c r="B244" i="1"/>
  <c r="D243" i="1"/>
  <c r="E243" i="1" s="1"/>
  <c r="C243" i="1"/>
  <c r="D236" i="1"/>
  <c r="D237" i="1"/>
  <c r="D238" i="1"/>
  <c r="E238" i="1"/>
  <c r="D239" i="1"/>
  <c r="E239" i="1"/>
  <c r="D240" i="1"/>
  <c r="E240" i="1"/>
  <c r="D241" i="1"/>
  <c r="D242" i="1"/>
  <c r="E242" i="1"/>
  <c r="D235" i="1"/>
  <c r="E235" i="1" s="1"/>
  <c r="C242" i="1"/>
  <c r="B242" i="1"/>
  <c r="C239" i="1"/>
  <c r="B239" i="1"/>
  <c r="C241" i="1"/>
  <c r="B241" i="1"/>
  <c r="C240" i="1"/>
  <c r="B240" i="1"/>
  <c r="C238" i="1"/>
  <c r="B238" i="1"/>
  <c r="C237" i="1"/>
  <c r="B237" i="1"/>
  <c r="B236" i="1"/>
  <c r="C227" i="1"/>
  <c r="C229" i="1" s="1"/>
  <c r="C225" i="1"/>
  <c r="C228" i="1" s="1"/>
  <c r="D215" i="1"/>
  <c r="D213" i="1"/>
  <c r="C217" i="1"/>
  <c r="C214" i="1"/>
  <c r="B213" i="1"/>
  <c r="B215" i="1"/>
  <c r="B214" i="1"/>
  <c r="D214" i="1" s="1"/>
  <c r="D200" i="1"/>
  <c r="E200" i="1"/>
  <c r="D201" i="1"/>
  <c r="E201" i="1" s="1"/>
  <c r="C201" i="1"/>
  <c r="B199" i="1"/>
  <c r="B202" i="1" s="1"/>
  <c r="B203" i="1" s="1"/>
  <c r="B204" i="1" s="1"/>
  <c r="C198" i="1"/>
  <c r="D198" i="1" s="1"/>
  <c r="E198" i="1" s="1"/>
  <c r="D189" i="1"/>
  <c r="E189" i="1" s="1"/>
  <c r="D190" i="1"/>
  <c r="F190" i="1" s="1"/>
  <c r="E190" i="1"/>
  <c r="D191" i="1"/>
  <c r="E191" i="1" s="1"/>
  <c r="D188" i="1"/>
  <c r="F188" i="1" s="1"/>
  <c r="C192" i="1"/>
  <c r="C193" i="1" s="1"/>
  <c r="B192" i="1"/>
  <c r="D192" i="1" s="1"/>
  <c r="E192" i="1" s="1"/>
  <c r="C273" i="1" l="1"/>
  <c r="C278" i="1"/>
  <c r="C277" i="1"/>
  <c r="C274" i="1"/>
  <c r="C275" i="1" s="1"/>
  <c r="C276" i="1" s="1"/>
  <c r="D193" i="1"/>
  <c r="B193" i="1"/>
  <c r="E188" i="1"/>
  <c r="F189" i="1"/>
  <c r="C199" i="1"/>
  <c r="F191" i="1"/>
  <c r="D194" i="1"/>
  <c r="B216" i="1"/>
  <c r="B217" i="1" l="1"/>
  <c r="D217" i="1" s="1"/>
  <c r="D216" i="1"/>
  <c r="D199" i="1"/>
  <c r="E199" i="1" s="1"/>
  <c r="C202" i="1"/>
  <c r="C203" i="1" l="1"/>
  <c r="D202" i="1"/>
  <c r="E202" i="1" s="1"/>
  <c r="C204" i="1" l="1"/>
  <c r="D204" i="1" s="1"/>
  <c r="D203" i="1"/>
  <c r="E203" i="1" s="1"/>
  <c r="D176" i="1" l="1"/>
  <c r="E176" i="1" s="1"/>
  <c r="D180" i="1"/>
  <c r="D175" i="1"/>
  <c r="E175" i="1" s="1"/>
  <c r="C179" i="1"/>
  <c r="C178" i="1" s="1"/>
  <c r="B179" i="1"/>
  <c r="D179" i="1" s="1"/>
  <c r="E179" i="1" s="1"/>
  <c r="D166" i="1"/>
  <c r="E166" i="1" s="1"/>
  <c r="D165" i="1"/>
  <c r="E165" i="1" s="1"/>
  <c r="D162" i="1"/>
  <c r="E162" i="1" s="1"/>
  <c r="C167" i="1"/>
  <c r="B167" i="1"/>
  <c r="B168" i="1" s="1"/>
  <c r="B170" i="1" s="1"/>
  <c r="D155" i="1"/>
  <c r="E155" i="1" s="1"/>
  <c r="D156" i="1"/>
  <c r="E156" i="1"/>
  <c r="D154" i="1"/>
  <c r="E154" i="1" s="1"/>
  <c r="C157" i="1"/>
  <c r="C158" i="1" s="1"/>
  <c r="B157" i="1"/>
  <c r="B158" i="1" s="1"/>
  <c r="D158" i="1" s="1"/>
  <c r="B144" i="1"/>
  <c r="B145" i="1" s="1"/>
  <c r="C145" i="1" s="1"/>
  <c r="D167" i="1" l="1"/>
  <c r="E167" i="1" s="1"/>
  <c r="C168" i="1"/>
  <c r="C181" i="1"/>
  <c r="C144" i="1"/>
  <c r="B178" i="1"/>
  <c r="B181" i="1" s="1"/>
  <c r="B182" i="1" s="1"/>
  <c r="D157" i="1"/>
  <c r="E157" i="1" s="1"/>
  <c r="C138" i="1"/>
  <c r="B138" i="1"/>
  <c r="D138" i="1" s="1"/>
  <c r="D124" i="1"/>
  <c r="E124" i="1" s="1"/>
  <c r="D125" i="1"/>
  <c r="E125" i="1" s="1"/>
  <c r="D126" i="1"/>
  <c r="E126" i="1"/>
  <c r="D127" i="1"/>
  <c r="E127" i="1" s="1"/>
  <c r="D128" i="1"/>
  <c r="E128" i="1" s="1"/>
  <c r="D129" i="1"/>
  <c r="E129" i="1" s="1"/>
  <c r="D130" i="1"/>
  <c r="E130" i="1" s="1"/>
  <c r="D123" i="1"/>
  <c r="E123" i="1" s="1"/>
  <c r="C136" i="1"/>
  <c r="B136" i="1"/>
  <c r="C135" i="1"/>
  <c r="B135" i="1"/>
  <c r="C131" i="1"/>
  <c r="C132" i="1" s="1"/>
  <c r="B131" i="1"/>
  <c r="B132" i="1" s="1"/>
  <c r="B109" i="1"/>
  <c r="B108" i="1"/>
  <c r="D91" i="1"/>
  <c r="E91" i="1" s="1"/>
  <c r="D92" i="1"/>
  <c r="E92" i="1" s="1"/>
  <c r="D93" i="1"/>
  <c r="E93" i="1" s="1"/>
  <c r="D90" i="1"/>
  <c r="E90" i="1" s="1"/>
  <c r="C96" i="1"/>
  <c r="C97" i="1" s="1"/>
  <c r="B96" i="1"/>
  <c r="B97" i="1" s="1"/>
  <c r="C94" i="1"/>
  <c r="C95" i="1"/>
  <c r="B95" i="1"/>
  <c r="B94" i="1"/>
  <c r="J79" i="1"/>
  <c r="G79" i="1"/>
  <c r="D82" i="1"/>
  <c r="D84" i="1" s="1"/>
  <c r="K79" i="1" s="1"/>
  <c r="D78" i="1"/>
  <c r="D83" i="1" s="1"/>
  <c r="D73" i="1"/>
  <c r="D72" i="1"/>
  <c r="D71" i="1"/>
  <c r="D70" i="1"/>
  <c r="D74" i="1" l="1"/>
  <c r="D135" i="1"/>
  <c r="D136" i="1"/>
  <c r="D178" i="1"/>
  <c r="E178" i="1" s="1"/>
  <c r="B112" i="1"/>
  <c r="C170" i="1"/>
  <c r="D170" i="1" s="1"/>
  <c r="D168" i="1"/>
  <c r="E168" i="1" s="1"/>
  <c r="B137" i="1"/>
  <c r="B139" i="1"/>
  <c r="C137" i="1"/>
  <c r="C139" i="1"/>
  <c r="D132" i="1"/>
  <c r="E132" i="1" s="1"/>
  <c r="D96" i="1"/>
  <c r="E96" i="1" s="1"/>
  <c r="D131" i="1"/>
  <c r="E131" i="1" s="1"/>
  <c r="D95" i="1"/>
  <c r="E95" i="1" s="1"/>
  <c r="D94" i="1"/>
  <c r="E94" i="1" s="1"/>
  <c r="C148" i="1"/>
  <c r="C147" i="1"/>
  <c r="K80" i="1"/>
  <c r="K81" i="1" s="1"/>
  <c r="K82" i="1" s="1"/>
  <c r="D97" i="1"/>
  <c r="D181" i="1"/>
  <c r="D79" i="1"/>
  <c r="F79" i="1" s="1"/>
  <c r="F80" i="1" s="1"/>
  <c r="F81" i="1" s="1"/>
  <c r="F82" i="1" s="1"/>
  <c r="B110" i="1"/>
  <c r="D63" i="1"/>
  <c r="E63" i="1" s="1"/>
  <c r="D58" i="1"/>
  <c r="E58" i="1" s="1"/>
  <c r="B64" i="1"/>
  <c r="B63" i="1"/>
  <c r="C63" i="1"/>
  <c r="C64" i="1"/>
  <c r="C60" i="1"/>
  <c r="C61" i="1"/>
  <c r="B61" i="1"/>
  <c r="B60" i="1"/>
  <c r="D43" i="1"/>
  <c r="D41" i="1"/>
  <c r="D45" i="1" s="1"/>
  <c r="C40" i="1"/>
  <c r="B40" i="1"/>
  <c r="D39" i="1"/>
  <c r="E39" i="1" s="1"/>
  <c r="D38" i="1"/>
  <c r="E38" i="1" s="1"/>
  <c r="D32" i="1"/>
  <c r="D30" i="1"/>
  <c r="C29" i="1"/>
  <c r="B29" i="1"/>
  <c r="D28" i="1"/>
  <c r="E28" i="1" s="1"/>
  <c r="D27" i="1"/>
  <c r="E27" i="1" s="1"/>
  <c r="D20" i="1"/>
  <c r="D18" i="1"/>
  <c r="D22" i="1" s="1"/>
  <c r="C17" i="1"/>
  <c r="B17" i="1"/>
  <c r="D16" i="1"/>
  <c r="E16" i="1" s="1"/>
  <c r="D15" i="1"/>
  <c r="E15" i="1" s="1"/>
  <c r="D9" i="1"/>
  <c r="D7" i="1"/>
  <c r="D11" i="1" s="1"/>
  <c r="D5" i="1"/>
  <c r="E5" i="1"/>
  <c r="D4" i="1"/>
  <c r="E4" i="1" s="1"/>
  <c r="C6" i="1"/>
  <c r="B6" i="1"/>
  <c r="D137" i="1" l="1"/>
  <c r="D61" i="1"/>
  <c r="E61" i="1" s="1"/>
  <c r="D60" i="1"/>
  <c r="E60" i="1" s="1"/>
  <c r="C62" i="1"/>
  <c r="C65" i="1" s="1"/>
  <c r="G60" i="1" s="1"/>
  <c r="D6" i="1"/>
  <c r="E6" i="1" s="1"/>
  <c r="D139" i="1"/>
  <c r="D40" i="1"/>
  <c r="E40" i="1" s="1"/>
  <c r="B62" i="1"/>
  <c r="D62" i="1" s="1"/>
  <c r="E62" i="1" s="1"/>
  <c r="C177" i="1"/>
  <c r="E181" i="1"/>
  <c r="C59" i="1"/>
  <c r="D29" i="1"/>
  <c r="B113" i="1"/>
  <c r="B111" i="1"/>
  <c r="B114" i="1" s="1"/>
  <c r="B118" i="1"/>
  <c r="B59" i="1"/>
  <c r="D64" i="1"/>
  <c r="E64" i="1" s="1"/>
  <c r="D17" i="1"/>
  <c r="E17" i="1" s="1"/>
  <c r="E29" i="1"/>
  <c r="D34" i="1"/>
  <c r="D59" i="1" l="1"/>
  <c r="E59" i="1" s="1"/>
  <c r="D177" i="1"/>
  <c r="E177" i="1" s="1"/>
  <c r="C182" i="1"/>
  <c r="D182" i="1" s="1"/>
  <c r="G64" i="1"/>
  <c r="G59" i="1"/>
  <c r="G61" i="1"/>
  <c r="G62" i="1"/>
  <c r="G63" i="1"/>
  <c r="G65" i="1"/>
  <c r="G58" i="1"/>
  <c r="B65" i="1"/>
  <c r="D65" i="1" s="1"/>
  <c r="E65" i="1" s="1"/>
  <c r="F58" i="1" l="1"/>
  <c r="H58" i="1" s="1"/>
  <c r="F60" i="1"/>
  <c r="H60" i="1" s="1"/>
  <c r="F64" i="1"/>
  <c r="H64" i="1" s="1"/>
  <c r="F65" i="1"/>
  <c r="H65" i="1" s="1"/>
  <c r="F63" i="1"/>
  <c r="H63" i="1" s="1"/>
  <c r="F61" i="1"/>
  <c r="H61" i="1" s="1"/>
  <c r="F62" i="1"/>
  <c r="H62" i="1" s="1"/>
  <c r="F59" i="1"/>
  <c r="H59" i="1" s="1"/>
</calcChain>
</file>

<file path=xl/sharedStrings.xml><?xml version="1.0" encoding="utf-8"?>
<sst xmlns="http://schemas.openxmlformats.org/spreadsheetml/2006/main" count="474" uniqueCount="329">
  <si>
    <t>Факторный анализ</t>
  </si>
  <si>
    <t>Показатель</t>
  </si>
  <si>
    <t xml:space="preserve">Базисн </t>
  </si>
  <si>
    <t>Отчётный</t>
  </si>
  <si>
    <t>Абсолютное изм</t>
  </si>
  <si>
    <t>Относительное изм</t>
  </si>
  <si>
    <t>Ставка</t>
  </si>
  <si>
    <t>База по НДС</t>
  </si>
  <si>
    <t>НДС начис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</si>
  <si>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ст</t>
    </r>
    <r>
      <rPr>
        <b/>
        <sz val="10"/>
        <color theme="1"/>
        <rFont val="Arial"/>
        <family val="2"/>
        <charset val="204"/>
      </rPr>
      <t xml:space="preserve"> 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Б</t>
    </r>
    <r>
      <rPr>
        <b/>
        <vertAlign val="subscript"/>
        <sz val="10"/>
        <color theme="1"/>
        <rFont val="Arial"/>
        <family val="2"/>
        <charset val="204"/>
      </rPr>
      <t>б</t>
    </r>
  </si>
  <si>
    <t>Измен налога за счёт ставки</t>
  </si>
  <si>
    <t>Измен налога за счёт базы</t>
  </si>
  <si>
    <t>усиление кач фактора (ставка)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</si>
  <si>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баз</t>
    </r>
    <r>
      <rPr>
        <b/>
        <sz val="10"/>
        <color theme="1"/>
        <rFont val="Arial"/>
        <family val="2"/>
        <charset val="204"/>
      </rPr>
      <t xml:space="preserve"> = (Б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Б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</t>
    </r>
    <r>
      <rPr>
        <b/>
        <vertAlign val="subscript"/>
        <sz val="10"/>
        <color theme="1"/>
        <rFont val="Arial"/>
        <family val="2"/>
        <charset val="204"/>
      </rPr>
      <t>отч</t>
    </r>
  </si>
  <si>
    <t>Итого</t>
  </si>
  <si>
    <t>усиление кол фактора (базы)</t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</si>
  <si>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ст</t>
    </r>
    <r>
      <rPr>
        <b/>
        <sz val="10"/>
        <color theme="1"/>
        <rFont val="Arial"/>
        <family val="2"/>
        <charset val="204"/>
      </rPr>
      <t xml:space="preserve"> 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Бот</t>
    </r>
  </si>
  <si>
    <r>
      <t>D</t>
    </r>
    <r>
      <rPr>
        <b/>
        <sz val="10"/>
        <color theme="1"/>
        <rFont val="Arial"/>
        <family val="2"/>
        <charset val="204"/>
      </rPr>
      <t>Н</t>
    </r>
    <r>
      <rPr>
        <b/>
        <vertAlign val="subscript"/>
        <sz val="10"/>
        <color theme="1"/>
        <rFont val="Arial"/>
        <family val="2"/>
        <charset val="204"/>
      </rPr>
      <t>нач баз</t>
    </r>
    <r>
      <rPr>
        <b/>
        <sz val="10"/>
        <color theme="1"/>
        <rFont val="Arial"/>
        <family val="2"/>
        <charset val="204"/>
      </rPr>
      <t xml:space="preserve"> = (Б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Б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Сбаз</t>
    </r>
  </si>
  <si>
    <t>Оценить влияние изменения цены и объёма реализации на выручку</t>
  </si>
  <si>
    <t>усиление кач фактора (цена)</t>
  </si>
  <si>
    <t>S=цена*колич(объём реал)</t>
  </si>
  <si>
    <t>НДС=Ставка*базу</t>
  </si>
  <si>
    <t>Цена</t>
  </si>
  <si>
    <t>Выручка</t>
  </si>
  <si>
    <r>
      <rPr>
        <b/>
        <sz val="10"/>
        <color theme="1"/>
        <rFont val="Arial"/>
        <family val="2"/>
        <charset val="204"/>
      </rPr>
      <t xml:space="preserve"> Измен выручки за счёт цены= (С</t>
    </r>
    <r>
      <rPr>
        <b/>
        <vertAlign val="subscript"/>
        <sz val="10"/>
        <color theme="1"/>
        <rFont val="Arial"/>
        <family val="2"/>
        <charset val="204"/>
      </rPr>
      <t>от</t>
    </r>
    <r>
      <rPr>
        <b/>
        <sz val="10"/>
        <color theme="1"/>
        <rFont val="Arial"/>
        <family val="2"/>
        <charset val="204"/>
      </rPr>
      <t xml:space="preserve"> – С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Vот</t>
    </r>
  </si>
  <si>
    <t xml:space="preserve">Измен выручки за счёт объёма </t>
  </si>
  <si>
    <r>
      <rPr>
        <b/>
        <sz val="10"/>
        <color theme="1"/>
        <rFont val="Arial"/>
        <family val="2"/>
        <charset val="204"/>
      </rPr>
      <t xml:space="preserve"> Измен выручки за счёт объёма= (V</t>
    </r>
    <r>
      <rPr>
        <b/>
        <vertAlign val="subscript"/>
        <sz val="10"/>
        <color theme="1"/>
        <rFont val="Arial"/>
        <family val="2"/>
        <charset val="204"/>
      </rPr>
      <t>отч</t>
    </r>
    <r>
      <rPr>
        <b/>
        <sz val="10"/>
        <color theme="1"/>
        <rFont val="Arial"/>
        <family val="2"/>
        <charset val="204"/>
      </rPr>
      <t xml:space="preserve"> – V</t>
    </r>
    <r>
      <rPr>
        <b/>
        <vertAlign val="subscript"/>
        <sz val="10"/>
        <color theme="1"/>
        <rFont val="Arial"/>
        <family val="2"/>
        <charset val="204"/>
      </rPr>
      <t>баз</t>
    </r>
    <r>
      <rPr>
        <b/>
        <sz val="10"/>
        <color theme="1"/>
        <rFont val="Arial"/>
        <family val="2"/>
        <charset val="204"/>
      </rPr>
      <t xml:space="preserve">) </t>
    </r>
    <r>
      <rPr>
        <b/>
        <sz val="10"/>
        <color theme="1"/>
        <rFont val="Symbol"/>
        <family val="1"/>
        <charset val="2"/>
      </rPr>
      <t>´</t>
    </r>
    <r>
      <rPr>
        <b/>
        <sz val="10"/>
        <color theme="1"/>
        <rFont val="Arial"/>
        <family val="2"/>
        <charset val="204"/>
      </rPr>
      <t xml:space="preserve"> Сбаз</t>
    </r>
  </si>
  <si>
    <t>Измен выручки за счёт цены</t>
  </si>
  <si>
    <t>Объём</t>
  </si>
  <si>
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Оцените платёжеспособность налогоплательщика. Что интересного в сложившейся картине с позиции налогового консультанта?</t>
  </si>
  <si>
    <t>Наименование статьи пассива баланса</t>
  </si>
  <si>
    <t>Сумма, тыс. руб.</t>
  </si>
  <si>
    <t>Собственный капитал</t>
  </si>
  <si>
    <t>Долгосрочные заемные пассивы – всего</t>
  </si>
  <si>
    <t>в том числе ОНО</t>
  </si>
  <si>
    <t>Краткосрочные заемные пассивы - всего</t>
  </si>
  <si>
    <t>в том числе КЗ перед государством по налогам</t>
  </si>
  <si>
    <t>Неналоговые пассивы – всего</t>
  </si>
  <si>
    <t>Долгосрочные заемные пассивы</t>
  </si>
  <si>
    <t>Краткосрочные заемные пассивы</t>
  </si>
  <si>
    <t>Итого пассив</t>
  </si>
  <si>
    <t>Горизонтальный анализ</t>
  </si>
  <si>
    <t>Вертикальный анализ</t>
  </si>
  <si>
    <t xml:space="preserve">Анализ структуры </t>
  </si>
  <si>
    <t>Анализ структурной динамики</t>
  </si>
  <si>
    <t>налоговые пассивы – всего</t>
  </si>
  <si>
    <t>Относительное изм %</t>
  </si>
  <si>
    <t>Удельный вес % 31.12.2020</t>
  </si>
  <si>
    <t>Удельный вес % 31.12.2021</t>
  </si>
  <si>
    <t>Изменение % удельных весов</t>
  </si>
  <si>
    <t xml:space="preserve">Определите суммарное количественное влияние факторов на величину налога на прибыль, рассчитываемого по правилам бухгалтерского и налогового учета.  
Исходные данные представлены в таблице.
</t>
  </si>
  <si>
    <t>Виды доходов и расходов</t>
  </si>
  <si>
    <t>Величина показателя, тыс. руб.</t>
  </si>
  <si>
    <t>в бухгалтерском учете</t>
  </si>
  <si>
    <t>в налоговом учете</t>
  </si>
  <si>
    <t>Представительские расходы</t>
  </si>
  <si>
    <t>Командировочные расходы</t>
  </si>
  <si>
    <t>Амортизация на амортизируемое имущество</t>
  </si>
  <si>
    <t>Начисленные, но не полученные дивиденды</t>
  </si>
  <si>
    <t>Комментарий</t>
  </si>
  <si>
    <t>ОНА,ОНО, ПНР, ПНД</t>
  </si>
  <si>
    <t>ПНР</t>
  </si>
  <si>
    <t>влияние факторов на величину налога на прибыль</t>
  </si>
  <si>
    <t>ОНА</t>
  </si>
  <si>
    <t>ПНД</t>
  </si>
  <si>
    <t xml:space="preserve">Имеются следующие сведения об организации:
- задолженность перед бюджетом по НДС на начало периода - 145 тыс. руб.;
- выручка от реализации продукции за период - 450 тыс. руб. (с НДС – 20%); 
- НДС по приобретенным ценностям на начало периода - 88 тыс. руб.; 
- приобретены товары на сумму 320 тыс. руб. (с учетом НДС – 20%). 
- уплачен НДС в течение периода - 48 тыс. руб.; 
- сумма НДС, принятая к вычету, – 44 тыс. руб. 
Рассчитайте изменение величины НДС по приобретенным ценностям и остатка кредиторской задолженности перед бюджетом по НДС и оцените их влияние на финансовое состояние организации.
</t>
  </si>
  <si>
    <t>Содержание операции</t>
  </si>
  <si>
    <t>Д</t>
  </si>
  <si>
    <t>К</t>
  </si>
  <si>
    <t>Сумма</t>
  </si>
  <si>
    <t>19(НДС по приобр ценн)</t>
  </si>
  <si>
    <t>Нач остатки</t>
  </si>
  <si>
    <t>Обороты по сч</t>
  </si>
  <si>
    <t>Конечн сальдо</t>
  </si>
  <si>
    <t>Абсол изменение</t>
  </si>
  <si>
    <t>Относит измен</t>
  </si>
  <si>
    <t>68.2 НДС</t>
  </si>
  <si>
    <t>Оплачены товары</t>
  </si>
  <si>
    <t>Приняты к учёту товары</t>
  </si>
  <si>
    <t>Выделен НДС</t>
  </si>
  <si>
    <t>НДС к вычету</t>
  </si>
  <si>
    <t>68.2</t>
  </si>
  <si>
    <t>Полчены ден средства от реал товаров</t>
  </si>
  <si>
    <t>Отражена выручка от реал</t>
  </si>
  <si>
    <t>90.1</t>
  </si>
  <si>
    <t>Списана себест товаров</t>
  </si>
  <si>
    <t>90.2</t>
  </si>
  <si>
    <t>Начислен НДС</t>
  </si>
  <si>
    <t>90.3</t>
  </si>
  <si>
    <t>Уплачен НДС</t>
  </si>
  <si>
    <t>Отражён фин рез от реал (приб)</t>
  </si>
  <si>
    <t>90.9</t>
  </si>
  <si>
    <t>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изменениям.</t>
  </si>
  <si>
    <t>Показатели, тыс. руб.</t>
  </si>
  <si>
    <t>Внеоборотные активы</t>
  </si>
  <si>
    <t>Текущие обязательства</t>
  </si>
  <si>
    <t>Абсол измен</t>
  </si>
  <si>
    <t>Итого актив</t>
  </si>
  <si>
    <t>Итого Пассив</t>
  </si>
  <si>
    <t>СОС</t>
  </si>
  <si>
    <t>Доля СОС в ОА</t>
  </si>
  <si>
    <t>Оборотные активы (ОА)</t>
  </si>
  <si>
    <t xml:space="preserve">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
</t>
  </si>
  <si>
    <t>Наименование показателя</t>
  </si>
  <si>
    <t>Значение, тыс. руб.</t>
  </si>
  <si>
    <t>Итог по разделу «Внеоборотные активы» (ВА)</t>
  </si>
  <si>
    <t>Запасы (Зап)</t>
  </si>
  <si>
    <t>НДС по приобретенным ценностям</t>
  </si>
  <si>
    <t>Итог по разделу «Капитал и резервы» (СК)</t>
  </si>
  <si>
    <t>Долгосрочные обязательства (ДО)</t>
  </si>
  <si>
    <t>Краткосрочные заемные средства (КЗС)</t>
  </si>
  <si>
    <t>Значение, тыс. руб.</t>
  </si>
  <si>
    <t xml:space="preserve"> Запасы и НДС</t>
  </si>
  <si>
    <t>СОК (С уч дох буд пер) = Кап и рез + Дох буд пер - Внеоб акт</t>
  </si>
  <si>
    <t>СОК + ДО = СОС</t>
  </si>
  <si>
    <t>СОК + ДО + Займы и кред</t>
  </si>
  <si>
    <t>СОК - Запасы и НДС</t>
  </si>
  <si>
    <t>СОК + ДО - Запасы и НДС</t>
  </si>
  <si>
    <t>(СОК + ДО + Займы и кред) - Запасы и НДС</t>
  </si>
  <si>
    <t>Соотношение запасов и групп источников</t>
  </si>
  <si>
    <t>Тип финансовой устойчивости</t>
  </si>
  <si>
    <t xml:space="preserve">Запасы &lt; = СОК (без долгосрочных обязательств) </t>
  </si>
  <si>
    <t>Абсолютная финансовая устойчивость</t>
  </si>
  <si>
    <t xml:space="preserve">Запасы &lt; = СОК + ДО  </t>
  </si>
  <si>
    <t>Нормальная финансовая устойчивость</t>
  </si>
  <si>
    <t xml:space="preserve">Запасы &lt; = СОК + ДО+ЗК </t>
  </si>
  <si>
    <t>Неустойчивое финансовое состояние</t>
  </si>
  <si>
    <t>Запасы &lt; = СОК + ДО + ЗК + Зпост</t>
  </si>
  <si>
    <t>Кризисное финансовое состояние</t>
  </si>
  <si>
    <t xml:space="preserve">S( , , ) </t>
  </si>
  <si>
    <t xml:space="preserve">S(0,0,0) </t>
  </si>
  <si>
    <t xml:space="preserve">Кпокр = СОС / МЗ </t>
  </si>
  <si>
    <t>коэффициент покрытия запасов</t>
  </si>
  <si>
    <t xml:space="preserve">Дайте оценку динамике структуры текущих активов и рассчитайте финансовые коэффициенты ликвидности исходя из данных, представленных в таблице. Укажите, повлияют ли происшедшие изменения, в том числе связанные с суммой НДС, на своевременность налоговых платежей:
</t>
  </si>
  <si>
    <t>Группы оборотных активов</t>
  </si>
  <si>
    <t>Стоимость, тыс. руб.</t>
  </si>
  <si>
    <t>Оборотные активы - всего:</t>
  </si>
  <si>
    <t>в т.ч. денежные средства</t>
  </si>
  <si>
    <t>в т.ч. сомнительная</t>
  </si>
  <si>
    <t>Запасы</t>
  </si>
  <si>
    <t>из них неликвиды</t>
  </si>
  <si>
    <t xml:space="preserve">Краткосрочная дебиторская  задолж                       </t>
  </si>
  <si>
    <t>Проверка</t>
  </si>
  <si>
    <t>Гипотеза- наличие долг ДЗ</t>
  </si>
  <si>
    <t>абсолютн изменение</t>
  </si>
  <si>
    <t>Относит изменение</t>
  </si>
  <si>
    <t>(денежные средства + краткосрочные финансовые вложения) / краткосрочные обязательства</t>
  </si>
  <si>
    <t>норма больше 0,2</t>
  </si>
  <si>
    <t>(денежные средства + краткосрочные финансовые вложения + краткосрочная дебиторская задолженность + прочие оборотные активы) / краткосрочные обязательства</t>
  </si>
  <si>
    <t>0,7-1</t>
  </si>
  <si>
    <t xml:space="preserve"> (оборотные активы - долгосрочная дебиторская задолженность) / краткосрочные обязательства</t>
  </si>
  <si>
    <t>больше 2</t>
  </si>
  <si>
    <t>Коэффициент критической  ликвидности</t>
  </si>
  <si>
    <t>Коэффициент текущей ликвидности</t>
  </si>
  <si>
    <t xml:space="preserve">Коэффициент абсолютной  ликвидности </t>
  </si>
  <si>
    <t>Коэффициент критической  ликвидности с учётом сомнит ДЗ</t>
  </si>
  <si>
    <t>Коэффициент текущей ликвидности с учётом сомнит ДЗ и неликвидн запасов</t>
  </si>
  <si>
    <t xml:space="preserve">Имеются следующие сведения о деятельности организации:
</t>
  </si>
  <si>
    <t>31.12.2020, тыс. руб.</t>
  </si>
  <si>
    <t>31.12.2021, тыс. руб.</t>
  </si>
  <si>
    <t>Текущие активы</t>
  </si>
  <si>
    <t>в т.ч. запасы</t>
  </si>
  <si>
    <t>Коэффициент срочной ликвидности (критич ликв)</t>
  </si>
  <si>
    <t>абсол измен</t>
  </si>
  <si>
    <t>Гипотеза - отсутствие Долг ДЗ</t>
  </si>
  <si>
    <t>(текущие активы - запасы) / краткосрочные обязательства</t>
  </si>
  <si>
    <t>0,75*26000=32500-запасы</t>
  </si>
  <si>
    <t xml:space="preserve">Оцените долю чистой налоговой задолженности перед государством в составе капитала организации. Для чего производится оценка данного показателя? </t>
  </si>
  <si>
    <t>Значение показателя, тыс. руб.</t>
  </si>
  <si>
    <t>Кредиторская задолженность по уплате налогов</t>
  </si>
  <si>
    <t>Капитал организации (валюта баланса)</t>
  </si>
  <si>
    <t>Абсолютное изменение</t>
  </si>
  <si>
    <t>Относительное изменение</t>
  </si>
  <si>
    <t>ЧНЗ=НО-НА</t>
  </si>
  <si>
    <t>Доля ЧНЗ в капитале</t>
  </si>
  <si>
    <t xml:space="preserve">Оцените абсолютное и относительное изменение доли собственного капитала, идущего на финансирование текущей деятельности, за год, рассчитав коэффициента маневренности. Разъясните экономический смысл показателя.
</t>
  </si>
  <si>
    <t>Актив, тыс. руб.</t>
  </si>
  <si>
    <t>Основные средства</t>
  </si>
  <si>
    <t>Пассив, тыс. руб.</t>
  </si>
  <si>
    <t>Уставный капитал</t>
  </si>
  <si>
    <t>Нераспределенная прибыль</t>
  </si>
  <si>
    <t>Собственный оборотный капитал</t>
  </si>
  <si>
    <t>собственный капитал + долгосрочные обязательства + доходы будущих периодов - внеоборотные активы</t>
  </si>
  <si>
    <t>собственный оборотный капитал / (собственный капитал + долгосрочные обязательства + доходы будущих периодов)</t>
  </si>
  <si>
    <t>Коэффициент маневренности собственного капитала</t>
  </si>
  <si>
    <t xml:space="preserve">собственный капитал </t>
  </si>
  <si>
    <t>больше 0,2</t>
  </si>
  <si>
    <t xml:space="preserve">Имеются следующие показатели деятельности организации в отчётном периоде. Временных разниц нет: Проанализируйте, какое влияние на величину показателя рентабельности капитала окажет изменение величины налога на прибыль.
</t>
  </si>
  <si>
    <t>Плановое значение, тыс. руб.</t>
  </si>
  <si>
    <t>Фактическое значение, тыс. руб.</t>
  </si>
  <si>
    <t>Прибыль до налогообложения</t>
  </si>
  <si>
    <t>Налогооблагаемая прибыль</t>
  </si>
  <si>
    <t>Капитал, в среднем за период</t>
  </si>
  <si>
    <t>Налог на прибыль</t>
  </si>
  <si>
    <t>Чистая прибыль</t>
  </si>
  <si>
    <t>Рентаб капитала=ЧП/Капит</t>
  </si>
  <si>
    <t>отложенный налог на прибыль</t>
  </si>
  <si>
    <t>текущий налог на прибыль</t>
  </si>
  <si>
    <t>Организация применила налоговое планирование по НДС и налогу на имущество организаций. Оцените его влияние на динамику показателя рентабельности продаж, изменения уровня налоговых издержек (входящих в состав себестоимости проданных товаров, а также коммерческих и управленческих расходов, связанных с их реализацией) на основании исходных данных представленных в таблице.</t>
  </si>
  <si>
    <t>Значение показателя (тыс. руб.)</t>
  </si>
  <si>
    <t>до применения налогового планирования</t>
  </si>
  <si>
    <t>после применения налогового планирования</t>
  </si>
  <si>
    <t xml:space="preserve">Выручка (нетто) от продажи </t>
  </si>
  <si>
    <t>Себестоимость (без налоговых издержек)</t>
  </si>
  <si>
    <t>Коммерческие и управленческие расходы (без налоговых издержек)</t>
  </si>
  <si>
    <t>Величина налоговых издержек, входящих в состав себестоимости, коммерческих и управленческих расходов</t>
  </si>
  <si>
    <t>Прибыль от продаж</t>
  </si>
  <si>
    <t>Рентабельность продаж</t>
  </si>
  <si>
    <t>влияние изменения уровня налоговых издержек на динамику показателя рентабельности продаж</t>
  </si>
  <si>
    <t>влияние изменения  на динамику показателя рентабельности продаж</t>
  </si>
  <si>
    <t xml:space="preserve">Организация оказывает услуги питания в буфете телерадиокомпании. Определите, как изменится рентабельность продаж в случае снижения величины налоговых издержек, входящих в состав постоянных затрат буфета, на 25% при одновременном снижении торговой надбавки на 4%.
В отчетном периоде затраты на продукты питания составили 250 тыс. руб.; постоянные расходы без учета налогов 165 тыс. руб.; торговая надбавка на продукты питания – 90%; налоговые издержки - 55 тыс. руб.
</t>
  </si>
  <si>
    <t xml:space="preserve"> до изм</t>
  </si>
  <si>
    <t>после измен</t>
  </si>
  <si>
    <t>торговая надбавка  (90%)</t>
  </si>
  <si>
    <t>затраты на продукты питания (VC)</t>
  </si>
  <si>
    <t>налоговые издержки</t>
  </si>
  <si>
    <t>рентабельность продаж</t>
  </si>
  <si>
    <t xml:space="preserve">постоянные расходы (FC) </t>
  </si>
  <si>
    <t>Значение показателя, тыс. руб.</t>
  </si>
  <si>
    <t>средняя стоимость дебиторской задолженности</t>
  </si>
  <si>
    <t xml:space="preserve">средняя стоимость запасов материалов   </t>
  </si>
  <si>
    <t>средняя кредиторская задолженность поставщикам</t>
  </si>
  <si>
    <t>выручка от реализации за год</t>
  </si>
  <si>
    <t xml:space="preserve">объем закупок материалов у поставщиков  </t>
  </si>
  <si>
    <t>Оборачиваемость запасов</t>
  </si>
  <si>
    <t xml:space="preserve">365 х запасы (среднее) / объем закупок материалов у поставщиков </t>
  </si>
  <si>
    <t>Оборачиваемость  дебиторской задолженности</t>
  </si>
  <si>
    <t>Оборачиваемость  кредиторской  задолженности</t>
  </si>
  <si>
    <t>365 х  дебиторская задолженность (среднее) / выручка</t>
  </si>
  <si>
    <t>365 х кредиторская  задолженность (среднее) / выручка</t>
  </si>
  <si>
    <t>Длительность операционного цикла</t>
  </si>
  <si>
    <t>Длительность финансового цикла</t>
  </si>
  <si>
    <t>оборачиваемость запасов + оборачиваемость дебиторской задолженности</t>
  </si>
  <si>
    <t>оборачиваемость запасов + оборачиваемость дебиторской задолженности - оборачиваемость краткосрочной кредиторской задолженности</t>
  </si>
  <si>
    <t>Определите продолжительность операционного и финансового циклов за отчетный год по следующим данным:  Какие выводы можно сделать, если в предыдущем году с момента возникновения до момента погашения задолженности поставщикам в среднем проходило 46 дней, а длительность операционного цикла составляла 102 день, в том числе: период хранения материалов - 64 дня, а средний срок погашения дебиторской задолженности - 44 дня.</t>
  </si>
  <si>
    <t>пред период</t>
  </si>
  <si>
    <t>Рассчитайте средний период погашения дебиторской и кредиторской задолженности в днях. Соответствует ли соотношение полученных показателей своевременному погашению обязательств по уплате налогов и других платежей?</t>
  </si>
  <si>
    <t>Предыдущий год</t>
  </si>
  <si>
    <t>Отчетный год</t>
  </si>
  <si>
    <t>Продажи</t>
  </si>
  <si>
    <t>Себестоимость продаж</t>
  </si>
  <si>
    <t>Среднегодовая стоимость:</t>
  </si>
  <si>
    <t>дебиторской задолженности</t>
  </si>
  <si>
    <t>кредиторской задолженности</t>
  </si>
  <si>
    <t>дебиторская задолженность (среднее)</t>
  </si>
  <si>
    <t>кредиторская задолженность (среднее)</t>
  </si>
  <si>
    <t>Проанализируйте, какое влияние на рентабельность капитала окажет изменение величины налога на прибыль, если известно следующее.</t>
  </si>
  <si>
    <t xml:space="preserve">Планировалось, что прибыль организации – и бухгалтерская, и по налоговому учету – составит 1000 тыс. руб., а валюта баланса (капитал в среднем за период) - 5600 тыс. руб. </t>
  </si>
  <si>
    <t>Фактическая бухгалтерская прибыль составила 700 тыс. руб., кроме того, образовалась вычитаемая временная разница – 110 тыс. руб.</t>
  </si>
  <si>
    <t>План</t>
  </si>
  <si>
    <t>Факт</t>
  </si>
  <si>
    <t>Прибыль (убыток) до налогообложения</t>
  </si>
  <si>
    <t>Чистая прибыль (убыток)</t>
  </si>
  <si>
    <t xml:space="preserve">текущий налог на прибыль </t>
  </si>
  <si>
    <t>Прибыль по налоговому учёту</t>
  </si>
  <si>
    <t>вычитаемая временная разница</t>
  </si>
  <si>
    <t>валюта баланса (капитал)</t>
  </si>
  <si>
    <t>рентабельность капитала</t>
  </si>
  <si>
    <t xml:space="preserve">Выручка организации (ОСНО) за анализируемый период составила 59 000 000 руб. (с НДС – 20%). Величина дебиторской задолженности организации на начало отчетного периода составляла 2 360 000 руб., на конец периода размер задолженности сократился на 15%. 
Проанализируйте показатели оборачиваемости дебиторской задолженности. Для каких целей определяются эти показатели?
</t>
  </si>
  <si>
    <t>Начало пер</t>
  </si>
  <si>
    <t>Конец пер</t>
  </si>
  <si>
    <t>Выручка  (с НДС – 20%)</t>
  </si>
  <si>
    <t>Выручка без НДС</t>
  </si>
  <si>
    <t>Дебиторская задолж</t>
  </si>
  <si>
    <t>ДЗ (среднее)</t>
  </si>
  <si>
    <t>В предыдущем периоде, рентабельность оборотных активов - 13,06%. Проанализируйте изменение рентабельности оборотных активов в результате изменения балансового остатка дебиторской задолженности организации. Поясните экономический смысл этого показателя. Данные отчетного периода:</t>
  </si>
  <si>
    <t>Показатель, тыс. руб.</t>
  </si>
  <si>
    <t>Прибыль за период</t>
  </si>
  <si>
    <t xml:space="preserve">Сумма оборотных активов </t>
  </si>
  <si>
    <t xml:space="preserve">Дебиторская задолженность </t>
  </si>
  <si>
    <t>Среднее знач обор акт</t>
  </si>
  <si>
    <t>Среднее знач обор акт с неизм ДЗ</t>
  </si>
  <si>
    <t>рентабельность оборотных активов 2021</t>
  </si>
  <si>
    <t>рентабельность оборотных активов 2021 с неизм ДЗ</t>
  </si>
  <si>
    <t>абс измен</t>
  </si>
  <si>
    <t xml:space="preserve">Дайте оценку динамики абсолютной величины и уровня текущих затрат, в том числе их переменной и постоянной части. Рассчитайте сумму маржинального дохода, критического объема продаж, а также показатели операционного рычага.                                                                                                                                                                           </t>
  </si>
  <si>
    <t>Показатели</t>
  </si>
  <si>
    <t>Текущие затраты</t>
  </si>
  <si>
    <t>Объем продукции S</t>
  </si>
  <si>
    <t>в т.ч. Переменные VC</t>
  </si>
  <si>
    <t>Постоянные затраты FC</t>
  </si>
  <si>
    <t>Маржа GM</t>
  </si>
  <si>
    <t>Прибыль GI</t>
  </si>
  <si>
    <t>Запас финансовой прочности, тыс. руб.</t>
  </si>
  <si>
    <t xml:space="preserve">Уровень безубыточной выручки </t>
  </si>
  <si>
    <t>Запас финансовой прочности, %</t>
  </si>
  <si>
    <t>Опер рычаг Olp=const(V)=GM/GI</t>
  </si>
  <si>
    <t>Опер рычаг Olv=const(p)=S/GI</t>
  </si>
  <si>
    <t>Определить темп изм приб</t>
  </si>
  <si>
    <t>V=const</t>
  </si>
  <si>
    <t>p=const</t>
  </si>
  <si>
    <t>v увелич на 15%</t>
  </si>
  <si>
    <t>v уменьш на 15%</t>
  </si>
  <si>
    <t>p увелич на 15%</t>
  </si>
  <si>
    <t>p уменьш на 15%</t>
  </si>
  <si>
    <t xml:space="preserve">Используя критерии маржинального анализа (точка безубыточности и запас финансовой прочности), выберите наиболее оптимальный вариант налоговой политики организации. </t>
  </si>
  <si>
    <t>Наименование / значение показателя, тыс. руб.</t>
  </si>
  <si>
    <t>2-й вариант</t>
  </si>
  <si>
    <t>1-й вариант</t>
  </si>
  <si>
    <t>Выручка от продаж</t>
  </si>
  <si>
    <t xml:space="preserve">Налоговые издержки организации, </t>
  </si>
  <si>
    <t>в том числе постоянные</t>
  </si>
  <si>
    <t xml:space="preserve">Затраты организации (без налоговых), </t>
  </si>
  <si>
    <t>в том числе переменные</t>
  </si>
  <si>
    <t>постоянные (налоговые и неналоговые)</t>
  </si>
  <si>
    <t>переменные (налоговые и неналоговые)</t>
  </si>
  <si>
    <t>рент СК</t>
  </si>
  <si>
    <t>% по кредиту</t>
  </si>
  <si>
    <t>выгода</t>
  </si>
  <si>
    <t>Для финансирования проекта требуется 90 000 тыс. руб. В результате его реализации организация предполагает получить прибыль в сумме 20 000 тыс. руб. Менеджером рассматриваются два варианта финансирования:</t>
  </si>
  <si>
    <t>Собственные средства</t>
  </si>
  <si>
    <t>кредит</t>
  </si>
  <si>
    <t>заем</t>
  </si>
  <si>
    <t>Капитал:</t>
  </si>
  <si>
    <t>Х</t>
  </si>
  <si>
    <t>Проценты по кредиту (займу), в т.ч. для нормируемых:</t>
  </si>
  <si>
    <t>Рентабельность собственного капитала = Чистая прибыль/Собственный капитал*100</t>
  </si>
  <si>
    <t xml:space="preserve">Эффект финансового рычага </t>
  </si>
  <si>
    <r>
      <t>ЭФР = (1-НП) х (ЭР-СРСП</t>
    </r>
    <r>
      <rPr>
        <b/>
        <i/>
        <vertAlign val="subscript"/>
        <sz val="10"/>
        <color theme="1"/>
        <rFont val="Arial"/>
        <family val="2"/>
        <charset val="204"/>
      </rPr>
      <t>1</t>
    </r>
    <r>
      <rPr>
        <b/>
        <i/>
        <sz val="10"/>
        <color theme="1"/>
        <rFont val="Arial"/>
        <family val="2"/>
        <charset val="204"/>
      </rPr>
      <t>) х (ЗС/СС) – СРСП</t>
    </r>
    <r>
      <rPr>
        <b/>
        <i/>
        <vertAlign val="sub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 xml:space="preserve"> х (ЗС/СС)</t>
    </r>
  </si>
  <si>
    <t>Экономическая рентабельность (ЭР)%=EBIT/Капитал*100</t>
  </si>
  <si>
    <t>заемный под 20% годовых</t>
  </si>
  <si>
    <t xml:space="preserve"> собственный</t>
  </si>
  <si>
    <t xml:space="preserve"> в пределах (ключевой ставки ЦБ * 1,8)</t>
  </si>
  <si>
    <t xml:space="preserve"> свыше (ключевой ставки ЦБ * 1,8)</t>
  </si>
  <si>
    <t>СРСП1</t>
  </si>
  <si>
    <t>Ключевая ставка</t>
  </si>
  <si>
    <t>ставка по договору</t>
  </si>
  <si>
    <t>СРСП2</t>
  </si>
  <si>
    <t>по 269 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</si>
</sst>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00"/>
    <numFmt numFmtId="167" formatCode="0.0"/>
    <numFmt numFmtId="168" formatCode="_-* #,##0.000\ _₽_-;\-* #,##0.0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10"/>
      <color theme="1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vertAlign val="subscript"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9" fontId="0" fillId="0" borderId="1" xfId="2" applyFont="1" applyBorder="1" applyAlignment="1">
      <alignment wrapText="1"/>
    </xf>
    <xf numFmtId="0" fontId="2" fillId="0" borderId="1" xfId="0" applyFont="1" applyBorder="1"/>
    <xf numFmtId="1" fontId="0" fillId="0" borderId="1" xfId="2" applyNumberFormat="1" applyFont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0" fillId="2" borderId="0" xfId="1" applyNumberFormat="1" applyFont="1" applyFill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0" fillId="0" borderId="1" xfId="2" applyNumberFormat="1" applyFont="1" applyBorder="1"/>
    <xf numFmtId="165" fontId="0" fillId="0" borderId="1" xfId="0" applyNumberForma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ill="1" applyBorder="1"/>
    <xf numFmtId="0" fontId="5" fillId="0" borderId="1" xfId="0" applyFont="1" applyFill="1" applyBorder="1" applyAlignment="1">
      <alignment horizontal="justify" vertical="center" wrapText="1"/>
    </xf>
    <xf numFmtId="166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167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4" fontId="5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166" fontId="0" fillId="4" borderId="0" xfId="0" applyNumberFormat="1" applyFill="1"/>
    <xf numFmtId="0" fontId="8" fillId="5" borderId="1" xfId="0" applyFont="1" applyFill="1" applyBorder="1" applyAlignment="1">
      <alignment horizontal="justify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0" fontId="5" fillId="0" borderId="1" xfId="0" applyFont="1" applyBorder="1" applyAlignment="1">
      <alignment horizontal="justify" vertical="center"/>
    </xf>
    <xf numFmtId="164" fontId="0" fillId="0" borderId="1" xfId="1" applyNumberFormat="1" applyFont="1" applyBorder="1"/>
    <xf numFmtId="14" fontId="5" fillId="0" borderId="0" xfId="0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0" fontId="5" fillId="4" borderId="1" xfId="0" applyFont="1" applyFill="1" applyBorder="1" applyAlignment="1">
      <alignment horizontal="justify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horizontal="center" vertical="center" wrapText="1"/>
    </xf>
    <xf numFmtId="43" fontId="0" fillId="0" borderId="1" xfId="1" applyNumberFormat="1" applyFont="1" applyBorder="1"/>
    <xf numFmtId="168" fontId="0" fillId="0" borderId="1" xfId="1" applyNumberFormat="1" applyFont="1" applyBorder="1"/>
    <xf numFmtId="43" fontId="0" fillId="0" borderId="9" xfId="1" applyNumberFormat="1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5" fillId="0" borderId="5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/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ill="1" applyBorder="1"/>
    <xf numFmtId="10" fontId="0" fillId="0" borderId="1" xfId="2" applyNumberFormat="1" applyFont="1" applyBorder="1"/>
    <xf numFmtId="0" fontId="0" fillId="8" borderId="1" xfId="0" applyFill="1" applyBorder="1"/>
    <xf numFmtId="165" fontId="0" fillId="8" borderId="1" xfId="2" applyNumberFormat="1" applyFont="1" applyFill="1" applyBorder="1"/>
    <xf numFmtId="0" fontId="0" fillId="0" borderId="0" xfId="0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9" fontId="0" fillId="0" borderId="1" xfId="2" applyFont="1" applyBorder="1"/>
    <xf numFmtId="0" fontId="0" fillId="0" borderId="1" xfId="0" applyFill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0" fillId="2" borderId="12" xfId="0" applyFill="1" applyBorder="1"/>
    <xf numFmtId="0" fontId="10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0" fillId="9" borderId="1" xfId="0" applyFill="1" applyBorder="1"/>
    <xf numFmtId="165" fontId="12" fillId="0" borderId="1" xfId="2" applyNumberFormat="1" applyFont="1" applyBorder="1"/>
    <xf numFmtId="165" fontId="1" fillId="0" borderId="1" xfId="2" applyNumberFormat="1" applyFont="1" applyBorder="1"/>
    <xf numFmtId="165" fontId="0" fillId="0" borderId="12" xfId="2" applyNumberFormat="1" applyFont="1" applyBorder="1"/>
    <xf numFmtId="164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0" fontId="0" fillId="0" borderId="1" xfId="0" applyNumberFormat="1" applyBorder="1"/>
    <xf numFmtId="164" fontId="0" fillId="0" borderId="12" xfId="1" applyNumberFormat="1" applyFont="1" applyBorder="1"/>
    <xf numFmtId="165" fontId="0" fillId="0" borderId="15" xfId="2" applyNumberFormat="1" applyFont="1" applyBorder="1"/>
    <xf numFmtId="43" fontId="0" fillId="2" borderId="1" xfId="1" applyNumberFormat="1" applyFont="1" applyFill="1" applyBorder="1"/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4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9" fontId="0" fillId="0" borderId="0" xfId="0" applyNumberFormat="1"/>
    <xf numFmtId="9" fontId="6" fillId="5" borderId="16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justify" vertical="center" wrapText="1"/>
    </xf>
    <xf numFmtId="3" fontId="6" fillId="5" borderId="14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justify" vertical="center"/>
    </xf>
    <xf numFmtId="0" fontId="6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9" fontId="0" fillId="0" borderId="1" xfId="0" applyNumberFormat="1" applyBorder="1"/>
    <xf numFmtId="9" fontId="6" fillId="5" borderId="14" xfId="2" applyFont="1" applyFill="1" applyBorder="1" applyAlignment="1">
      <alignment horizontal="center" vertical="center"/>
    </xf>
    <xf numFmtId="165" fontId="6" fillId="5" borderId="14" xfId="2" applyNumberFormat="1" applyFont="1" applyFill="1" applyBorder="1" applyAlignment="1">
      <alignment horizontal="center" vertical="center"/>
    </xf>
    <xf numFmtId="10" fontId="6" fillId="4" borderId="14" xfId="0" applyNumberFormat="1" applyFont="1" applyFill="1" applyBorder="1" applyAlignment="1">
      <alignment horizontal="center" vertical="center"/>
    </xf>
    <xf numFmtId="10" fontId="6" fillId="4" borderId="14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topLeftCell="A13" zoomScale="150" zoomScaleNormal="150" workbookViewId="0">
      <selection activeCell="D325" sqref="D325"/>
    </sheetView>
  </sheetViews>
  <sheetFormatPr defaultRowHeight="15" x14ac:dyDescent="0.25"/>
  <cols>
    <col min="1" max="1" width="25.5703125" customWidth="1"/>
    <col min="2" max="2" width="14.140625" bestFit="1" customWidth="1"/>
    <col min="3" max="3" width="15.140625" customWidth="1"/>
    <col min="4" max="4" width="21.140625" customWidth="1"/>
    <col min="5" max="5" width="30.28515625" customWidth="1"/>
    <col min="6" max="6" width="25.7109375" customWidth="1"/>
    <col min="7" max="7" width="11" customWidth="1"/>
    <col min="9" max="9" width="13.8554687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ht="30" x14ac:dyDescent="0.25">
      <c r="A2" s="2" t="s">
        <v>15</v>
      </c>
      <c r="B2" s="2"/>
      <c r="C2" s="2" t="s">
        <v>21</v>
      </c>
      <c r="D2" s="2"/>
      <c r="E2" s="2"/>
      <c r="F2" s="2"/>
    </row>
    <row r="3" spans="1:6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"/>
    </row>
    <row r="4" spans="1:6" x14ac:dyDescent="0.25">
      <c r="A4" s="3" t="s">
        <v>6</v>
      </c>
      <c r="B4" s="7">
        <v>0.18</v>
      </c>
      <c r="C4" s="7">
        <v>0.2</v>
      </c>
      <c r="D4" s="7">
        <f>C4-B4</f>
        <v>2.0000000000000018E-2</v>
      </c>
      <c r="E4" s="7">
        <f>D4/B4</f>
        <v>0.11111111111111122</v>
      </c>
      <c r="F4" s="2"/>
    </row>
    <row r="5" spans="1:6" x14ac:dyDescent="0.25">
      <c r="A5" s="3" t="s">
        <v>7</v>
      </c>
      <c r="B5" s="5">
        <v>1500000</v>
      </c>
      <c r="C5" s="5">
        <v>2000000</v>
      </c>
      <c r="D5" s="5">
        <f t="shared" ref="D5:D6" si="0">C5-B5</f>
        <v>500000</v>
      </c>
      <c r="E5" s="7">
        <f t="shared" ref="E5:E6" si="1">D5/B5</f>
        <v>0.33333333333333331</v>
      </c>
      <c r="F5" s="2"/>
    </row>
    <row r="6" spans="1:6" x14ac:dyDescent="0.25">
      <c r="A6" s="3" t="s">
        <v>8</v>
      </c>
      <c r="B6" s="5">
        <f>B5*B4</f>
        <v>270000</v>
      </c>
      <c r="C6" s="5">
        <f>C4*C5</f>
        <v>400000</v>
      </c>
      <c r="D6" s="10">
        <f t="shared" si="0"/>
        <v>130000</v>
      </c>
      <c r="E6" s="7">
        <f t="shared" si="1"/>
        <v>0.48148148148148145</v>
      </c>
      <c r="F6" s="2"/>
    </row>
    <row r="7" spans="1:6" ht="30" x14ac:dyDescent="0.25">
      <c r="A7" s="3" t="s">
        <v>10</v>
      </c>
      <c r="B7" s="5"/>
      <c r="C7" s="5"/>
      <c r="D7" s="5">
        <f>(C4-B4)*B5</f>
        <v>30000.000000000025</v>
      </c>
      <c r="E7" s="5"/>
      <c r="F7" s="2"/>
    </row>
    <row r="8" spans="1:6" x14ac:dyDescent="0.25">
      <c r="A8" s="8" t="s">
        <v>9</v>
      </c>
      <c r="B8" s="5"/>
      <c r="C8" s="5"/>
      <c r="D8" s="5"/>
      <c r="E8" s="5"/>
      <c r="F8" s="2"/>
    </row>
    <row r="9" spans="1:6" x14ac:dyDescent="0.25">
      <c r="A9" s="3" t="s">
        <v>11</v>
      </c>
      <c r="B9" s="5"/>
      <c r="C9" s="5"/>
      <c r="D9" s="5">
        <f>(C5-B5)*C4</f>
        <v>100000</v>
      </c>
      <c r="E9" s="5"/>
      <c r="F9" s="2"/>
    </row>
    <row r="10" spans="1:6" x14ac:dyDescent="0.25">
      <c r="A10" s="8" t="s">
        <v>13</v>
      </c>
      <c r="B10" s="5"/>
      <c r="C10" s="5"/>
      <c r="D10" s="5"/>
      <c r="E10" s="5"/>
      <c r="F10" s="2"/>
    </row>
    <row r="11" spans="1:6" x14ac:dyDescent="0.25">
      <c r="A11" s="2" t="s">
        <v>14</v>
      </c>
      <c r="B11" s="6"/>
      <c r="C11" s="6"/>
      <c r="D11" s="11">
        <f>D7+D9</f>
        <v>130000.00000000003</v>
      </c>
      <c r="E11" s="6"/>
      <c r="F11" s="2"/>
    </row>
    <row r="12" spans="1:6" x14ac:dyDescent="0.25">
      <c r="A12" s="2"/>
      <c r="B12" s="6"/>
      <c r="C12" s="6"/>
      <c r="D12" s="6"/>
      <c r="E12" s="6"/>
      <c r="F12" s="2"/>
    </row>
    <row r="13" spans="1:6" ht="30" x14ac:dyDescent="0.25">
      <c r="A13" s="2" t="s">
        <v>12</v>
      </c>
      <c r="B13" s="2"/>
      <c r="C13" s="2"/>
      <c r="D13" s="2"/>
      <c r="E13" s="2"/>
      <c r="F13" s="2"/>
    </row>
    <row r="14" spans="1:6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6" x14ac:dyDescent="0.25">
      <c r="A15" s="3" t="s">
        <v>6</v>
      </c>
      <c r="B15" s="7">
        <v>0.18</v>
      </c>
      <c r="C15" s="7">
        <v>0.2</v>
      </c>
      <c r="D15" s="7">
        <f>C15-B15</f>
        <v>2.0000000000000018E-2</v>
      </c>
      <c r="E15" s="7">
        <f>D15/B15</f>
        <v>0.11111111111111122</v>
      </c>
      <c r="F15" s="2"/>
    </row>
    <row r="16" spans="1:6" x14ac:dyDescent="0.25">
      <c r="A16" s="3" t="s">
        <v>7</v>
      </c>
      <c r="B16" s="5">
        <v>1500000</v>
      </c>
      <c r="C16" s="5">
        <v>2000000</v>
      </c>
      <c r="D16" s="5">
        <f t="shared" ref="D16:D17" si="2">C16-B16</f>
        <v>500000</v>
      </c>
      <c r="E16" s="7">
        <f t="shared" ref="E16:E17" si="3">D16/B16</f>
        <v>0.33333333333333331</v>
      </c>
      <c r="F16" s="2"/>
    </row>
    <row r="17" spans="1:6" x14ac:dyDescent="0.25">
      <c r="A17" s="3" t="s">
        <v>8</v>
      </c>
      <c r="B17" s="5">
        <f>B16*B15</f>
        <v>270000</v>
      </c>
      <c r="C17" s="5">
        <f>C15*C16</f>
        <v>400000</v>
      </c>
      <c r="D17" s="10">
        <f t="shared" si="2"/>
        <v>130000</v>
      </c>
      <c r="E17" s="7">
        <f t="shared" si="3"/>
        <v>0.48148148148148145</v>
      </c>
      <c r="F17" s="2"/>
    </row>
    <row r="18" spans="1:6" ht="30" x14ac:dyDescent="0.25">
      <c r="A18" s="3" t="s">
        <v>10</v>
      </c>
      <c r="B18" s="5"/>
      <c r="C18" s="5"/>
      <c r="D18" s="5">
        <f>(C15-B15)*C16</f>
        <v>40000.000000000036</v>
      </c>
      <c r="E18" s="5"/>
      <c r="F18" s="2"/>
    </row>
    <row r="19" spans="1:6" x14ac:dyDescent="0.25">
      <c r="A19" s="8" t="s">
        <v>16</v>
      </c>
      <c r="B19" s="5"/>
      <c r="C19" s="5"/>
      <c r="D19" s="5"/>
      <c r="E19" s="5"/>
      <c r="F19" s="2"/>
    </row>
    <row r="20" spans="1:6" x14ac:dyDescent="0.25">
      <c r="A20" s="3" t="s">
        <v>11</v>
      </c>
      <c r="B20" s="5"/>
      <c r="C20" s="5"/>
      <c r="D20" s="5">
        <f>(C16-B16)*B15</f>
        <v>90000</v>
      </c>
      <c r="E20" s="5"/>
      <c r="F20" s="2"/>
    </row>
    <row r="21" spans="1:6" x14ac:dyDescent="0.25">
      <c r="A21" s="8" t="s">
        <v>17</v>
      </c>
      <c r="B21" s="5"/>
      <c r="C21" s="5"/>
      <c r="D21" s="5"/>
      <c r="E21" s="5"/>
      <c r="F21" s="2"/>
    </row>
    <row r="22" spans="1:6" x14ac:dyDescent="0.25">
      <c r="A22" s="2" t="s">
        <v>14</v>
      </c>
      <c r="B22" s="6"/>
      <c r="C22" s="6"/>
      <c r="D22" s="11">
        <f>D18+D20</f>
        <v>130000.00000000003</v>
      </c>
      <c r="E22" s="6"/>
      <c r="F22" s="2"/>
    </row>
    <row r="24" spans="1:6" x14ac:dyDescent="0.25">
      <c r="A24" t="s">
        <v>18</v>
      </c>
      <c r="E24" t="s">
        <v>20</v>
      </c>
    </row>
    <row r="25" spans="1:6" ht="30" x14ac:dyDescent="0.25">
      <c r="A25" s="2" t="s">
        <v>19</v>
      </c>
      <c r="B25" s="2"/>
      <c r="C25" s="2"/>
      <c r="D25" s="2"/>
      <c r="E25" s="2"/>
    </row>
    <row r="26" spans="1:6" x14ac:dyDescent="0.25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</row>
    <row r="27" spans="1:6" x14ac:dyDescent="0.25">
      <c r="A27" s="3" t="s">
        <v>22</v>
      </c>
      <c r="B27" s="9">
        <v>56000</v>
      </c>
      <c r="C27" s="9">
        <v>60000</v>
      </c>
      <c r="D27" s="9">
        <f>C27-B27</f>
        <v>4000</v>
      </c>
      <c r="E27" s="7">
        <f>D27/B27</f>
        <v>7.1428571428571425E-2</v>
      </c>
    </row>
    <row r="28" spans="1:6" x14ac:dyDescent="0.25">
      <c r="A28" s="3" t="s">
        <v>28</v>
      </c>
      <c r="B28" s="5">
        <v>15000</v>
      </c>
      <c r="C28" s="5">
        <v>20000</v>
      </c>
      <c r="D28" s="5">
        <f t="shared" ref="D28" si="4">C28-B28</f>
        <v>5000</v>
      </c>
      <c r="E28" s="7">
        <f t="shared" ref="E28:E29" si="5">D28/B28</f>
        <v>0.33333333333333331</v>
      </c>
    </row>
    <row r="29" spans="1:6" x14ac:dyDescent="0.25">
      <c r="A29" s="3" t="s">
        <v>23</v>
      </c>
      <c r="B29" s="5">
        <f>B28*B27</f>
        <v>840000000</v>
      </c>
      <c r="C29" s="5">
        <f>C27*C28</f>
        <v>1200000000</v>
      </c>
      <c r="D29" s="10">
        <f>C29-B29</f>
        <v>360000000</v>
      </c>
      <c r="E29" s="7">
        <f t="shared" si="5"/>
        <v>0.42857142857142855</v>
      </c>
    </row>
    <row r="30" spans="1:6" ht="30" x14ac:dyDescent="0.25">
      <c r="A30" s="3" t="s">
        <v>27</v>
      </c>
      <c r="B30" s="5"/>
      <c r="C30" s="5"/>
      <c r="D30" s="5">
        <f>(C27-B27)*C28</f>
        <v>80000000</v>
      </c>
      <c r="E30" s="5"/>
    </row>
    <row r="31" spans="1:6" x14ac:dyDescent="0.25">
      <c r="A31" s="8" t="s">
        <v>24</v>
      </c>
      <c r="B31" s="5"/>
      <c r="C31" s="5"/>
      <c r="D31" s="5"/>
      <c r="E31" s="5"/>
    </row>
    <row r="32" spans="1:6" ht="30" x14ac:dyDescent="0.25">
      <c r="A32" s="3" t="s">
        <v>25</v>
      </c>
      <c r="B32" s="5"/>
      <c r="C32" s="5"/>
      <c r="D32" s="5">
        <f>(C28-B28)*B27</f>
        <v>280000000</v>
      </c>
      <c r="E32" s="5"/>
    </row>
    <row r="33" spans="1:13" x14ac:dyDescent="0.25">
      <c r="A33" s="8" t="s">
        <v>26</v>
      </c>
      <c r="B33" s="5"/>
      <c r="C33" s="5"/>
      <c r="D33" s="5"/>
      <c r="E33" s="5"/>
    </row>
    <row r="34" spans="1:13" x14ac:dyDescent="0.25">
      <c r="A34" s="2" t="s">
        <v>14</v>
      </c>
      <c r="B34" s="6"/>
      <c r="C34" s="6"/>
      <c r="D34" s="11">
        <f>D30+D32</f>
        <v>360000000</v>
      </c>
      <c r="E34" s="6"/>
    </row>
    <row r="36" spans="1:13" ht="30" x14ac:dyDescent="0.25">
      <c r="A36" s="2" t="s">
        <v>19</v>
      </c>
      <c r="B36" s="2"/>
      <c r="C36" s="2"/>
      <c r="D36" s="2"/>
      <c r="E36" s="2"/>
    </row>
    <row r="37" spans="1:13" x14ac:dyDescent="0.25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</row>
    <row r="38" spans="1:13" x14ac:dyDescent="0.25">
      <c r="A38" s="3" t="s">
        <v>22</v>
      </c>
      <c r="B38" s="9">
        <v>56000</v>
      </c>
      <c r="C38" s="9">
        <v>75000</v>
      </c>
      <c r="D38" s="9">
        <f>C38-B38</f>
        <v>19000</v>
      </c>
      <c r="E38" s="7">
        <f>D38/B38</f>
        <v>0.3392857142857143</v>
      </c>
    </row>
    <row r="39" spans="1:13" x14ac:dyDescent="0.25">
      <c r="A39" s="3" t="s">
        <v>28</v>
      </c>
      <c r="B39" s="5">
        <v>15000</v>
      </c>
      <c r="C39" s="5">
        <v>12000</v>
      </c>
      <c r="D39" s="5">
        <f t="shared" ref="D39" si="6">C39-B39</f>
        <v>-3000</v>
      </c>
      <c r="E39" s="7">
        <f t="shared" ref="E39:E40" si="7">D39/B39</f>
        <v>-0.2</v>
      </c>
    </row>
    <row r="40" spans="1:13" x14ac:dyDescent="0.25">
      <c r="A40" s="3" t="s">
        <v>23</v>
      </c>
      <c r="B40" s="5">
        <f>B39*B38</f>
        <v>840000000</v>
      </c>
      <c r="C40" s="5">
        <f>C38*C39</f>
        <v>900000000</v>
      </c>
      <c r="D40" s="10">
        <f>C40-B40</f>
        <v>60000000</v>
      </c>
      <c r="E40" s="7">
        <f t="shared" si="7"/>
        <v>7.1428571428571425E-2</v>
      </c>
    </row>
    <row r="41" spans="1:13" ht="30" x14ac:dyDescent="0.25">
      <c r="A41" s="3" t="s">
        <v>27</v>
      </c>
      <c r="B41" s="5"/>
      <c r="C41" s="5"/>
      <c r="D41" s="5">
        <f>(C38-B38)*C39</f>
        <v>228000000</v>
      </c>
      <c r="E41" s="5"/>
    </row>
    <row r="42" spans="1:13" x14ac:dyDescent="0.25">
      <c r="A42" s="8" t="s">
        <v>24</v>
      </c>
      <c r="B42" s="5"/>
      <c r="C42" s="5"/>
      <c r="D42" s="5"/>
      <c r="E42" s="5"/>
    </row>
    <row r="43" spans="1:13" ht="30" x14ac:dyDescent="0.25">
      <c r="A43" s="3" t="s">
        <v>25</v>
      </c>
      <c r="B43" s="5"/>
      <c r="C43" s="5"/>
      <c r="D43" s="5">
        <f>(C39-B39)*B38</f>
        <v>-168000000</v>
      </c>
      <c r="E43" s="5"/>
    </row>
    <row r="44" spans="1:13" x14ac:dyDescent="0.25">
      <c r="A44" s="8" t="s">
        <v>26</v>
      </c>
      <c r="B44" s="5"/>
      <c r="C44" s="5"/>
      <c r="D44" s="5"/>
      <c r="E44" s="5"/>
    </row>
    <row r="45" spans="1:13" x14ac:dyDescent="0.25">
      <c r="A45" s="2" t="s">
        <v>14</v>
      </c>
      <c r="B45" s="6"/>
      <c r="C45" s="6"/>
      <c r="D45" s="11">
        <f>D41+D43</f>
        <v>60000000</v>
      </c>
      <c r="E45" s="6"/>
    </row>
    <row r="47" spans="1:13" ht="57" customHeight="1" x14ac:dyDescent="0.25">
      <c r="A47" s="91" t="s">
        <v>29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x14ac:dyDescent="0.25">
      <c r="A48" s="95" t="s">
        <v>30</v>
      </c>
      <c r="B48" s="96" t="s">
        <v>31</v>
      </c>
      <c r="C48" s="96"/>
    </row>
    <row r="49" spans="1:8" x14ac:dyDescent="0.25">
      <c r="A49" s="95"/>
      <c r="B49" s="12">
        <v>44196</v>
      </c>
      <c r="C49" s="12">
        <v>44561</v>
      </c>
    </row>
    <row r="50" spans="1:8" x14ac:dyDescent="0.25">
      <c r="A50" s="13" t="s">
        <v>32</v>
      </c>
      <c r="B50" s="14">
        <v>360</v>
      </c>
      <c r="C50" s="14">
        <v>412</v>
      </c>
    </row>
    <row r="51" spans="1:8" ht="25.5" x14ac:dyDescent="0.25">
      <c r="A51" s="13" t="s">
        <v>33</v>
      </c>
      <c r="B51" s="14">
        <v>125</v>
      </c>
      <c r="C51" s="14">
        <v>175</v>
      </c>
    </row>
    <row r="52" spans="1:8" x14ac:dyDescent="0.25">
      <c r="A52" s="13" t="s">
        <v>34</v>
      </c>
      <c r="B52" s="14">
        <v>53</v>
      </c>
      <c r="C52" s="14">
        <v>42</v>
      </c>
    </row>
    <row r="53" spans="1:8" ht="25.5" x14ac:dyDescent="0.25">
      <c r="A53" s="13" t="s">
        <v>35</v>
      </c>
      <c r="B53" s="14">
        <v>165</v>
      </c>
      <c r="C53" s="14">
        <v>215</v>
      </c>
    </row>
    <row r="54" spans="1:8" ht="25.5" x14ac:dyDescent="0.25">
      <c r="A54" s="13" t="s">
        <v>36</v>
      </c>
      <c r="B54" s="14">
        <v>85</v>
      </c>
      <c r="C54" s="14">
        <v>95</v>
      </c>
    </row>
    <row r="55" spans="1:8" x14ac:dyDescent="0.25">
      <c r="F55" t="s">
        <v>43</v>
      </c>
      <c r="H55" t="s">
        <v>44</v>
      </c>
    </row>
    <row r="56" spans="1:8" x14ac:dyDescent="0.25">
      <c r="A56" s="95" t="s">
        <v>30</v>
      </c>
      <c r="B56" s="96" t="s">
        <v>31</v>
      </c>
      <c r="C56" s="96"/>
      <c r="D56" s="1" t="s">
        <v>41</v>
      </c>
      <c r="E56" s="1"/>
      <c r="F56" s="1" t="s">
        <v>42</v>
      </c>
      <c r="G56" s="1"/>
      <c r="H56" s="1"/>
    </row>
    <row r="57" spans="1:8" ht="60" x14ac:dyDescent="0.25">
      <c r="A57" s="95"/>
      <c r="B57" s="12">
        <v>44196</v>
      </c>
      <c r="C57" s="12">
        <v>44561</v>
      </c>
      <c r="D57" s="4" t="s">
        <v>4</v>
      </c>
      <c r="E57" s="4" t="s">
        <v>46</v>
      </c>
      <c r="F57" s="12" t="s">
        <v>47</v>
      </c>
      <c r="G57" s="12" t="s">
        <v>48</v>
      </c>
      <c r="H57" s="3" t="s">
        <v>49</v>
      </c>
    </row>
    <row r="58" spans="1:8" x14ac:dyDescent="0.25">
      <c r="A58" s="15" t="s">
        <v>32</v>
      </c>
      <c r="B58" s="14">
        <v>360</v>
      </c>
      <c r="C58" s="14">
        <v>412</v>
      </c>
      <c r="D58" s="1">
        <f>C58-B58</f>
        <v>52</v>
      </c>
      <c r="E58" s="17">
        <f>D58/B58</f>
        <v>0.14444444444444443</v>
      </c>
      <c r="F58" s="17">
        <f>B58/B$65</f>
        <v>0.55384615384615388</v>
      </c>
      <c r="G58" s="17">
        <f>C58/C$65</f>
        <v>0.513715710723192</v>
      </c>
      <c r="H58" s="18">
        <f>G58-F58</f>
        <v>-4.0130443122961879E-2</v>
      </c>
    </row>
    <row r="59" spans="1:8" ht="25.5" x14ac:dyDescent="0.25">
      <c r="A59" s="15" t="s">
        <v>45</v>
      </c>
      <c r="B59" s="14">
        <f>B60+B61</f>
        <v>138</v>
      </c>
      <c r="C59" s="14">
        <f>C60+C61</f>
        <v>137</v>
      </c>
      <c r="D59" s="1">
        <f t="shared" ref="D59:D65" si="8">C59-B59</f>
        <v>-1</v>
      </c>
      <c r="E59" s="17">
        <f t="shared" ref="E59:E65" si="9">D59/B59</f>
        <v>-7.246376811594203E-3</v>
      </c>
      <c r="F59" s="17">
        <f t="shared" ref="F59:F65" si="10">B59/B$65</f>
        <v>0.21230769230769231</v>
      </c>
      <c r="G59" s="17">
        <f t="shared" ref="G59:G65" si="11">C59/C$65</f>
        <v>0.17082294264339151</v>
      </c>
      <c r="H59" s="18">
        <f t="shared" ref="H59:H65" si="12">G59-F59</f>
        <v>-4.1484749664300796E-2</v>
      </c>
    </row>
    <row r="60" spans="1:8" x14ac:dyDescent="0.25">
      <c r="A60" s="13" t="s">
        <v>34</v>
      </c>
      <c r="B60" s="1">
        <f>B52</f>
        <v>53</v>
      </c>
      <c r="C60" s="1">
        <f>C52</f>
        <v>42</v>
      </c>
      <c r="D60" s="1">
        <f t="shared" si="8"/>
        <v>-11</v>
      </c>
      <c r="E60" s="17">
        <f t="shared" si="9"/>
        <v>-0.20754716981132076</v>
      </c>
      <c r="F60" s="17">
        <f t="shared" si="10"/>
        <v>8.1538461538461532E-2</v>
      </c>
      <c r="G60" s="17">
        <f t="shared" si="11"/>
        <v>5.2369077306733167E-2</v>
      </c>
      <c r="H60" s="18">
        <f t="shared" si="12"/>
        <v>-2.9169384231728365E-2</v>
      </c>
    </row>
    <row r="61" spans="1:8" ht="25.5" x14ac:dyDescent="0.25">
      <c r="A61" s="13" t="s">
        <v>36</v>
      </c>
      <c r="B61" s="1">
        <f>B54</f>
        <v>85</v>
      </c>
      <c r="C61" s="1">
        <f>C54</f>
        <v>95</v>
      </c>
      <c r="D61" s="1">
        <f t="shared" si="8"/>
        <v>10</v>
      </c>
      <c r="E61" s="17">
        <f t="shared" si="9"/>
        <v>0.11764705882352941</v>
      </c>
      <c r="F61" s="17">
        <f t="shared" si="10"/>
        <v>0.13076923076923078</v>
      </c>
      <c r="G61" s="17">
        <f t="shared" si="11"/>
        <v>0.11845386533665836</v>
      </c>
      <c r="H61" s="18">
        <f t="shared" si="12"/>
        <v>-1.2315365432572417E-2</v>
      </c>
    </row>
    <row r="62" spans="1:8" ht="25.5" x14ac:dyDescent="0.25">
      <c r="A62" s="15" t="s">
        <v>37</v>
      </c>
      <c r="B62" s="1">
        <f>B63+B64</f>
        <v>152</v>
      </c>
      <c r="C62" s="1">
        <f>C63+C64</f>
        <v>253</v>
      </c>
      <c r="D62" s="1">
        <f t="shared" si="8"/>
        <v>101</v>
      </c>
      <c r="E62" s="17">
        <f t="shared" si="9"/>
        <v>0.66447368421052633</v>
      </c>
      <c r="F62" s="17">
        <f t="shared" si="10"/>
        <v>0.23384615384615384</v>
      </c>
      <c r="G62" s="17">
        <f t="shared" si="11"/>
        <v>0.31546134663341646</v>
      </c>
      <c r="H62" s="18">
        <f t="shared" si="12"/>
        <v>8.1615192787262619E-2</v>
      </c>
    </row>
    <row r="63" spans="1:8" ht="30" x14ac:dyDescent="0.25">
      <c r="A63" s="3" t="s">
        <v>38</v>
      </c>
      <c r="B63" s="1">
        <f>B51-B52</f>
        <v>72</v>
      </c>
      <c r="C63" s="1">
        <f>C51-C52</f>
        <v>133</v>
      </c>
      <c r="D63" s="1">
        <f t="shared" si="8"/>
        <v>61</v>
      </c>
      <c r="E63" s="17">
        <f t="shared" si="9"/>
        <v>0.84722222222222221</v>
      </c>
      <c r="F63" s="17">
        <f t="shared" si="10"/>
        <v>0.11076923076923077</v>
      </c>
      <c r="G63" s="17">
        <f t="shared" si="11"/>
        <v>0.16583541147132169</v>
      </c>
      <c r="H63" s="18">
        <f t="shared" si="12"/>
        <v>5.5066180702090919E-2</v>
      </c>
    </row>
    <row r="64" spans="1:8" ht="30" x14ac:dyDescent="0.25">
      <c r="A64" s="3" t="s">
        <v>39</v>
      </c>
      <c r="B64" s="1">
        <f>B53-B54</f>
        <v>80</v>
      </c>
      <c r="C64" s="1">
        <f>C53-C54</f>
        <v>120</v>
      </c>
      <c r="D64" s="1">
        <f t="shared" si="8"/>
        <v>40</v>
      </c>
      <c r="E64" s="17">
        <f t="shared" si="9"/>
        <v>0.5</v>
      </c>
      <c r="F64" s="17">
        <f t="shared" si="10"/>
        <v>0.12307692307692308</v>
      </c>
      <c r="G64" s="17">
        <f t="shared" si="11"/>
        <v>0.14962593516209477</v>
      </c>
      <c r="H64" s="18">
        <f t="shared" si="12"/>
        <v>2.6549012085171686E-2</v>
      </c>
    </row>
    <row r="65" spans="1:11" x14ac:dyDescent="0.25">
      <c r="A65" s="16" t="s">
        <v>40</v>
      </c>
      <c r="B65" s="1">
        <f>B58+B59+B62</f>
        <v>650</v>
      </c>
      <c r="C65" s="1">
        <f>C58+C59+C62</f>
        <v>802</v>
      </c>
      <c r="D65" s="1">
        <f t="shared" si="8"/>
        <v>152</v>
      </c>
      <c r="E65" s="17">
        <f t="shared" si="9"/>
        <v>0.23384615384615384</v>
      </c>
      <c r="F65" s="17">
        <f t="shared" si="10"/>
        <v>1</v>
      </c>
      <c r="G65" s="17">
        <f t="shared" si="11"/>
        <v>1</v>
      </c>
      <c r="H65" s="18">
        <f t="shared" si="12"/>
        <v>0</v>
      </c>
    </row>
    <row r="67" spans="1:11" ht="57.75" customHeight="1" x14ac:dyDescent="0.25">
      <c r="A67" s="91" t="s">
        <v>50</v>
      </c>
      <c r="B67" s="91"/>
      <c r="C67" s="91"/>
      <c r="D67" s="91"/>
      <c r="E67" s="91"/>
      <c r="F67" s="91"/>
      <c r="G67" s="91"/>
      <c r="H67" s="91"/>
      <c r="I67" s="91"/>
    </row>
    <row r="68" spans="1:11" x14ac:dyDescent="0.25">
      <c r="A68" s="95" t="s">
        <v>51</v>
      </c>
      <c r="B68" s="96" t="s">
        <v>52</v>
      </c>
      <c r="C68" s="96"/>
      <c r="D68" s="1"/>
      <c r="E68" s="1"/>
    </row>
    <row r="69" spans="1:11" ht="38.25" x14ac:dyDescent="0.25">
      <c r="A69" s="95"/>
      <c r="B69" s="20" t="s">
        <v>53</v>
      </c>
      <c r="C69" s="20" t="s">
        <v>54</v>
      </c>
      <c r="D69" s="3" t="s">
        <v>60</v>
      </c>
      <c r="E69" s="1" t="s">
        <v>59</v>
      </c>
    </row>
    <row r="70" spans="1:11" ht="25.5" x14ac:dyDescent="0.25">
      <c r="A70" s="20" t="s">
        <v>55</v>
      </c>
      <c r="B70" s="21">
        <v>25</v>
      </c>
      <c r="C70" s="21">
        <v>22</v>
      </c>
      <c r="D70" s="1">
        <f>(B70-C70)*20%</f>
        <v>0.60000000000000009</v>
      </c>
      <c r="E70" s="1" t="s">
        <v>61</v>
      </c>
    </row>
    <row r="71" spans="1:11" x14ac:dyDescent="0.25">
      <c r="A71" s="20" t="s">
        <v>56</v>
      </c>
      <c r="B71" s="21">
        <v>40</v>
      </c>
      <c r="C71" s="21">
        <v>30</v>
      </c>
      <c r="D71" s="1">
        <f>(B71-C71)*20%</f>
        <v>2</v>
      </c>
      <c r="E71" s="1" t="s">
        <v>61</v>
      </c>
    </row>
    <row r="72" spans="1:11" ht="38.25" x14ac:dyDescent="0.25">
      <c r="A72" s="20" t="s">
        <v>57</v>
      </c>
      <c r="B72" s="21">
        <v>4</v>
      </c>
      <c r="C72" s="21">
        <v>2</v>
      </c>
      <c r="D72" s="1">
        <f>(B72-C72)*20%</f>
        <v>0.4</v>
      </c>
      <c r="E72" s="1" t="s">
        <v>63</v>
      </c>
    </row>
    <row r="73" spans="1:11" ht="25.5" x14ac:dyDescent="0.25">
      <c r="A73" s="20" t="s">
        <v>58</v>
      </c>
      <c r="B73" s="21">
        <v>2.5</v>
      </c>
      <c r="C73" s="21">
        <v>0</v>
      </c>
      <c r="D73" s="1">
        <f>(B73-C73)*20%</f>
        <v>0.5</v>
      </c>
      <c r="E73" s="1" t="s">
        <v>64</v>
      </c>
    </row>
    <row r="74" spans="1:11" x14ac:dyDescent="0.25">
      <c r="A74" t="s">
        <v>62</v>
      </c>
      <c r="D74" s="24">
        <f>D70+D71+D72-D73</f>
        <v>2.5</v>
      </c>
    </row>
    <row r="75" spans="1:11" ht="140.25" customHeight="1" x14ac:dyDescent="0.25">
      <c r="A75" s="89" t="s">
        <v>65</v>
      </c>
      <c r="B75" s="89"/>
      <c r="C75" s="89"/>
      <c r="D75" s="89"/>
      <c r="E75" s="89"/>
      <c r="F75" s="89"/>
      <c r="G75" s="89"/>
      <c r="H75" s="89"/>
      <c r="I75" s="89"/>
    </row>
    <row r="76" spans="1:11" x14ac:dyDescent="0.25">
      <c r="A76" s="25" t="s">
        <v>66</v>
      </c>
      <c r="B76" s="1" t="s">
        <v>67</v>
      </c>
      <c r="C76" s="1" t="s">
        <v>68</v>
      </c>
      <c r="D76" s="1" t="s">
        <v>69</v>
      </c>
      <c r="F76" t="s">
        <v>70</v>
      </c>
      <c r="K76" t="s">
        <v>76</v>
      </c>
    </row>
    <row r="77" spans="1:11" x14ac:dyDescent="0.25">
      <c r="A77" s="1" t="s">
        <v>77</v>
      </c>
      <c r="B77" s="1">
        <v>60</v>
      </c>
      <c r="C77" s="1">
        <v>51</v>
      </c>
      <c r="D77" s="1">
        <v>320</v>
      </c>
      <c r="E77" s="1" t="s">
        <v>1</v>
      </c>
      <c r="F77" s="1" t="s">
        <v>67</v>
      </c>
      <c r="G77" s="1" t="s">
        <v>68</v>
      </c>
      <c r="I77" s="1" t="s">
        <v>1</v>
      </c>
      <c r="J77" s="1" t="s">
        <v>67</v>
      </c>
      <c r="K77" s="1" t="s">
        <v>68</v>
      </c>
    </row>
    <row r="78" spans="1:11" x14ac:dyDescent="0.25">
      <c r="A78" s="1" t="s">
        <v>78</v>
      </c>
      <c r="B78" s="1">
        <v>41</v>
      </c>
      <c r="C78" s="1">
        <v>60</v>
      </c>
      <c r="D78" s="28">
        <f>320/1.2</f>
        <v>266.66666666666669</v>
      </c>
      <c r="E78" s="1" t="s">
        <v>71</v>
      </c>
      <c r="F78" s="1">
        <v>88</v>
      </c>
      <c r="G78" s="1"/>
      <c r="I78" s="1" t="s">
        <v>71</v>
      </c>
      <c r="J78" s="1"/>
      <c r="K78" s="1">
        <v>145</v>
      </c>
    </row>
    <row r="79" spans="1:11" x14ac:dyDescent="0.25">
      <c r="A79" s="1" t="s">
        <v>79</v>
      </c>
      <c r="B79" s="30">
        <v>19</v>
      </c>
      <c r="C79" s="1">
        <v>60</v>
      </c>
      <c r="D79" s="28">
        <f>320-D78</f>
        <v>53.333333333333314</v>
      </c>
      <c r="E79" s="1" t="s">
        <v>72</v>
      </c>
      <c r="F79" s="29">
        <f>D79</f>
        <v>53.333333333333314</v>
      </c>
      <c r="G79" s="30">
        <f>D80</f>
        <v>44</v>
      </c>
      <c r="I79" s="1" t="s">
        <v>72</v>
      </c>
      <c r="J79" s="31">
        <f>D80+D85</f>
        <v>92</v>
      </c>
      <c r="K79" s="31">
        <f>D84</f>
        <v>75</v>
      </c>
    </row>
    <row r="80" spans="1:11" x14ac:dyDescent="0.25">
      <c r="A80" s="1" t="s">
        <v>80</v>
      </c>
      <c r="B80" s="31" t="s">
        <v>81</v>
      </c>
      <c r="C80" s="30">
        <v>19</v>
      </c>
      <c r="D80" s="1">
        <v>44</v>
      </c>
      <c r="E80" s="1" t="s">
        <v>73</v>
      </c>
      <c r="F80" s="28">
        <f>F78+F79-G79</f>
        <v>97.333333333333314</v>
      </c>
      <c r="G80" s="1"/>
      <c r="I80" s="1" t="s">
        <v>73</v>
      </c>
      <c r="J80" s="1"/>
      <c r="K80" s="1">
        <f>K78+K79-J79</f>
        <v>128</v>
      </c>
    </row>
    <row r="81" spans="1:11" ht="30" x14ac:dyDescent="0.25">
      <c r="A81" s="3" t="s">
        <v>82</v>
      </c>
      <c r="B81" s="1">
        <v>51</v>
      </c>
      <c r="C81" s="1">
        <v>62</v>
      </c>
      <c r="D81" s="1">
        <v>450</v>
      </c>
      <c r="E81" s="3" t="s">
        <v>74</v>
      </c>
      <c r="F81" s="28">
        <f>F80-F78</f>
        <v>9.3333333333333144</v>
      </c>
      <c r="G81" s="1"/>
      <c r="I81" s="3" t="s">
        <v>74</v>
      </c>
      <c r="J81" s="1"/>
      <c r="K81" s="1">
        <f>K80-K78</f>
        <v>-17</v>
      </c>
    </row>
    <row r="82" spans="1:11" ht="30" x14ac:dyDescent="0.25">
      <c r="A82" s="3" t="s">
        <v>83</v>
      </c>
      <c r="B82" s="1">
        <v>62</v>
      </c>
      <c r="C82" s="1" t="s">
        <v>84</v>
      </c>
      <c r="D82" s="1">
        <f>450</f>
        <v>450</v>
      </c>
      <c r="E82" s="3" t="s">
        <v>75</v>
      </c>
      <c r="F82" s="17">
        <f>F81/F78</f>
        <v>0.10606060606060584</v>
      </c>
      <c r="G82" s="1"/>
      <c r="I82" s="3" t="s">
        <v>75</v>
      </c>
      <c r="J82" s="1"/>
      <c r="K82" s="17">
        <f>K81/K78</f>
        <v>-0.11724137931034483</v>
      </c>
    </row>
    <row r="83" spans="1:11" x14ac:dyDescent="0.25">
      <c r="A83" s="3" t="s">
        <v>85</v>
      </c>
      <c r="B83" s="1" t="s">
        <v>86</v>
      </c>
      <c r="C83" s="1">
        <v>41</v>
      </c>
      <c r="D83" s="28">
        <f>D78</f>
        <v>266.66666666666669</v>
      </c>
    </row>
    <row r="84" spans="1:11" x14ac:dyDescent="0.25">
      <c r="A84" s="3" t="s">
        <v>87</v>
      </c>
      <c r="B84" s="1" t="s">
        <v>88</v>
      </c>
      <c r="C84" s="31" t="s">
        <v>81</v>
      </c>
      <c r="D84" s="1">
        <f>D82*20/120</f>
        <v>75</v>
      </c>
    </row>
    <row r="85" spans="1:11" x14ac:dyDescent="0.25">
      <c r="A85" s="3" t="s">
        <v>89</v>
      </c>
      <c r="B85" s="31" t="s">
        <v>81</v>
      </c>
      <c r="C85" s="1">
        <v>51</v>
      </c>
      <c r="D85" s="1">
        <v>48</v>
      </c>
    </row>
    <row r="86" spans="1:11" ht="30" x14ac:dyDescent="0.25">
      <c r="A86" s="3" t="s">
        <v>90</v>
      </c>
      <c r="B86" s="1" t="s">
        <v>91</v>
      </c>
      <c r="C86" s="1">
        <v>99</v>
      </c>
      <c r="D86" s="1"/>
    </row>
    <row r="88" spans="1:11" ht="33" customHeight="1" x14ac:dyDescent="0.25">
      <c r="A88" s="102" t="s">
        <v>92</v>
      </c>
      <c r="B88" s="89"/>
      <c r="C88" s="89"/>
      <c r="D88" s="89"/>
      <c r="E88" s="89"/>
      <c r="F88" s="89"/>
      <c r="G88" s="89"/>
      <c r="H88" s="89"/>
      <c r="I88" s="89"/>
      <c r="J88" s="19"/>
    </row>
    <row r="89" spans="1:11" x14ac:dyDescent="0.25">
      <c r="A89" s="20" t="s">
        <v>93</v>
      </c>
      <c r="B89" s="32">
        <v>44196</v>
      </c>
      <c r="C89" s="32">
        <v>44561</v>
      </c>
      <c r="D89" s="1" t="s">
        <v>96</v>
      </c>
      <c r="E89" s="1" t="s">
        <v>75</v>
      </c>
    </row>
    <row r="90" spans="1:11" x14ac:dyDescent="0.25">
      <c r="A90" s="20" t="s">
        <v>32</v>
      </c>
      <c r="B90" s="21">
        <v>1700</v>
      </c>
      <c r="C90" s="21">
        <v>2000</v>
      </c>
      <c r="D90" s="1">
        <f>C90-B90</f>
        <v>300</v>
      </c>
      <c r="E90" s="17">
        <f>D90/B90</f>
        <v>0.17647058823529413</v>
      </c>
    </row>
    <row r="91" spans="1:11" x14ac:dyDescent="0.25">
      <c r="A91" s="20" t="s">
        <v>94</v>
      </c>
      <c r="B91" s="21">
        <v>1440</v>
      </c>
      <c r="C91" s="21">
        <v>1400</v>
      </c>
      <c r="D91" s="1">
        <f t="shared" ref="D91:D97" si="13">C91-B91</f>
        <v>-40</v>
      </c>
      <c r="E91" s="17">
        <f t="shared" ref="E91:E96" si="14">D91/B91</f>
        <v>-2.7777777777777776E-2</v>
      </c>
    </row>
    <row r="92" spans="1:11" x14ac:dyDescent="0.25">
      <c r="A92" s="20" t="s">
        <v>101</v>
      </c>
      <c r="B92" s="21">
        <v>1060</v>
      </c>
      <c r="C92" s="21">
        <v>1300</v>
      </c>
      <c r="D92" s="1">
        <f t="shared" si="13"/>
        <v>240</v>
      </c>
      <c r="E92" s="17">
        <f t="shared" si="14"/>
        <v>0.22641509433962265</v>
      </c>
    </row>
    <row r="93" spans="1:11" x14ac:dyDescent="0.25">
      <c r="A93" s="20" t="s">
        <v>95</v>
      </c>
      <c r="B93" s="21">
        <v>800</v>
      </c>
      <c r="C93" s="21">
        <v>700</v>
      </c>
      <c r="D93" s="1">
        <f t="shared" si="13"/>
        <v>-100</v>
      </c>
      <c r="E93" s="17">
        <f t="shared" si="14"/>
        <v>-0.125</v>
      </c>
    </row>
    <row r="94" spans="1:11" x14ac:dyDescent="0.25">
      <c r="A94" s="1" t="s">
        <v>97</v>
      </c>
      <c r="B94" s="1">
        <f>B91+B92</f>
        <v>2500</v>
      </c>
      <c r="C94" s="1">
        <f>C91+C92</f>
        <v>2700</v>
      </c>
      <c r="D94" s="1">
        <f t="shared" si="13"/>
        <v>200</v>
      </c>
      <c r="E94" s="17">
        <f t="shared" si="14"/>
        <v>0.08</v>
      </c>
    </row>
    <row r="95" spans="1:11" x14ac:dyDescent="0.25">
      <c r="A95" s="1" t="s">
        <v>98</v>
      </c>
      <c r="B95" s="1">
        <f>B90+B93</f>
        <v>2500</v>
      </c>
      <c r="C95" s="1">
        <f>C90+C93</f>
        <v>2700</v>
      </c>
      <c r="D95" s="1">
        <f t="shared" si="13"/>
        <v>200</v>
      </c>
      <c r="E95" s="17">
        <f t="shared" si="14"/>
        <v>0.08</v>
      </c>
    </row>
    <row r="96" spans="1:11" x14ac:dyDescent="0.25">
      <c r="A96" s="25" t="s">
        <v>99</v>
      </c>
      <c r="B96" s="1">
        <f>B90-B91</f>
        <v>260</v>
      </c>
      <c r="C96" s="1">
        <f>C90-C91</f>
        <v>600</v>
      </c>
      <c r="D96" s="1">
        <f t="shared" si="13"/>
        <v>340</v>
      </c>
      <c r="E96" s="17">
        <f t="shared" si="14"/>
        <v>1.3076923076923077</v>
      </c>
    </row>
    <row r="97" spans="1:10" x14ac:dyDescent="0.25">
      <c r="A97" s="25" t="s">
        <v>100</v>
      </c>
      <c r="B97" s="27">
        <f>B96/B92</f>
        <v>0.24528301886792453</v>
      </c>
      <c r="C97" s="27">
        <f>C96/C92</f>
        <v>0.46153846153846156</v>
      </c>
      <c r="D97" s="26">
        <f t="shared" si="13"/>
        <v>0.21625544267053703</v>
      </c>
      <c r="E97" s="17"/>
    </row>
    <row r="99" spans="1:10" ht="33" customHeight="1" x14ac:dyDescent="0.25">
      <c r="A99" s="89" t="s">
        <v>102</v>
      </c>
      <c r="B99" s="89"/>
      <c r="C99" s="89"/>
      <c r="D99" s="89"/>
      <c r="E99" s="89"/>
      <c r="F99" s="89"/>
      <c r="G99" s="89"/>
      <c r="H99" s="89"/>
      <c r="I99" s="89"/>
      <c r="J99" s="89"/>
    </row>
    <row r="100" spans="1:10" ht="25.5" x14ac:dyDescent="0.25">
      <c r="A100" s="20" t="s">
        <v>103</v>
      </c>
      <c r="B100" s="21" t="s">
        <v>104</v>
      </c>
    </row>
    <row r="101" spans="1:10" ht="38.25" x14ac:dyDescent="0.25">
      <c r="A101" s="20" t="s">
        <v>105</v>
      </c>
      <c r="B101" s="21">
        <v>1500</v>
      </c>
    </row>
    <row r="102" spans="1:10" x14ac:dyDescent="0.25">
      <c r="A102" s="20" t="s">
        <v>106</v>
      </c>
      <c r="B102" s="21">
        <v>1090</v>
      </c>
    </row>
    <row r="103" spans="1:10" ht="25.5" x14ac:dyDescent="0.25">
      <c r="A103" s="20" t="s">
        <v>107</v>
      </c>
      <c r="B103" s="21">
        <v>205</v>
      </c>
    </row>
    <row r="104" spans="1:10" ht="25.5" x14ac:dyDescent="0.25">
      <c r="A104" s="20" t="s">
        <v>108</v>
      </c>
      <c r="B104" s="21">
        <v>2150</v>
      </c>
    </row>
    <row r="105" spans="1:10" ht="25.5" x14ac:dyDescent="0.25">
      <c r="A105" s="20" t="s">
        <v>109</v>
      </c>
      <c r="B105" s="21">
        <v>100</v>
      </c>
    </row>
    <row r="106" spans="1:10" ht="25.5" x14ac:dyDescent="0.25">
      <c r="A106" s="33" t="s">
        <v>110</v>
      </c>
      <c r="B106" s="34">
        <v>320</v>
      </c>
    </row>
    <row r="107" spans="1:10" ht="25.5" x14ac:dyDescent="0.25">
      <c r="A107" s="35" t="s">
        <v>103</v>
      </c>
      <c r="B107" s="36" t="s">
        <v>111</v>
      </c>
    </row>
    <row r="108" spans="1:10" x14ac:dyDescent="0.25">
      <c r="A108" s="37" t="s">
        <v>112</v>
      </c>
      <c r="B108" s="36">
        <f>B102+B103</f>
        <v>1295</v>
      </c>
    </row>
    <row r="109" spans="1:10" ht="38.25" x14ac:dyDescent="0.25">
      <c r="A109" s="37" t="s">
        <v>113</v>
      </c>
      <c r="B109" s="36">
        <f>B104-B101</f>
        <v>650</v>
      </c>
    </row>
    <row r="110" spans="1:10" x14ac:dyDescent="0.25">
      <c r="A110" s="37" t="s">
        <v>114</v>
      </c>
      <c r="B110" s="36">
        <f>B109+B105</f>
        <v>750</v>
      </c>
    </row>
    <row r="111" spans="1:10" ht="38.25" x14ac:dyDescent="0.25">
      <c r="A111" s="37" t="s">
        <v>115</v>
      </c>
      <c r="B111" s="36">
        <f>B110+B106</f>
        <v>1070</v>
      </c>
      <c r="C111" s="39" t="s">
        <v>129</v>
      </c>
      <c r="D111" s="37" t="s">
        <v>119</v>
      </c>
      <c r="E111" s="37" t="s">
        <v>120</v>
      </c>
    </row>
    <row r="112" spans="1:10" ht="38.25" x14ac:dyDescent="0.25">
      <c r="A112" s="37" t="s">
        <v>116</v>
      </c>
      <c r="B112" s="36">
        <f>B109-B108</f>
        <v>-645</v>
      </c>
      <c r="C112" s="40">
        <v>0</v>
      </c>
      <c r="D112" s="37" t="s">
        <v>121</v>
      </c>
      <c r="E112" s="38" t="s">
        <v>122</v>
      </c>
    </row>
    <row r="113" spans="1:8" ht="25.5" x14ac:dyDescent="0.25">
      <c r="A113" s="37" t="s">
        <v>117</v>
      </c>
      <c r="B113" s="36">
        <f>B110-B108</f>
        <v>-545</v>
      </c>
      <c r="C113" s="40">
        <v>0</v>
      </c>
      <c r="D113" s="37" t="s">
        <v>123</v>
      </c>
      <c r="E113" s="38" t="s">
        <v>124</v>
      </c>
    </row>
    <row r="114" spans="1:8" ht="25.5" x14ac:dyDescent="0.25">
      <c r="A114" s="37" t="s">
        <v>118</v>
      </c>
      <c r="B114" s="36">
        <f>B111-B108</f>
        <v>-225</v>
      </c>
      <c r="C114" s="40">
        <v>0</v>
      </c>
      <c r="D114" s="37" t="s">
        <v>125</v>
      </c>
      <c r="E114" s="38" t="s">
        <v>126</v>
      </c>
    </row>
    <row r="115" spans="1:8" ht="25.5" x14ac:dyDescent="0.25">
      <c r="A115" s="37" t="s">
        <v>128</v>
      </c>
      <c r="C115" s="41" t="s">
        <v>130</v>
      </c>
      <c r="D115" s="37" t="s">
        <v>127</v>
      </c>
      <c r="E115" s="37" t="s">
        <v>128</v>
      </c>
    </row>
    <row r="116" spans="1:8" ht="38.25" x14ac:dyDescent="0.25">
      <c r="C116" s="45" t="s">
        <v>126</v>
      </c>
    </row>
    <row r="117" spans="1:8" x14ac:dyDescent="0.25">
      <c r="A117" s="43" t="s">
        <v>132</v>
      </c>
    </row>
    <row r="118" spans="1:8" x14ac:dyDescent="0.25">
      <c r="A118" s="42" t="s">
        <v>131</v>
      </c>
      <c r="B118" s="44">
        <f>B110/B108</f>
        <v>0.5791505791505791</v>
      </c>
    </row>
    <row r="120" spans="1:8" ht="37.5" customHeight="1" thickBot="1" x14ac:dyDescent="0.3">
      <c r="A120" s="97" t="s">
        <v>133</v>
      </c>
      <c r="B120" s="97"/>
      <c r="C120" s="97"/>
      <c r="D120" s="97"/>
      <c r="E120" s="97"/>
      <c r="F120" s="97"/>
      <c r="G120" s="97"/>
      <c r="H120" s="97"/>
    </row>
    <row r="121" spans="1:8" ht="15.75" thickBot="1" x14ac:dyDescent="0.3">
      <c r="A121" s="98" t="s">
        <v>134</v>
      </c>
      <c r="B121" s="100" t="s">
        <v>135</v>
      </c>
      <c r="C121" s="101"/>
    </row>
    <row r="122" spans="1:8" x14ac:dyDescent="0.25">
      <c r="A122" s="99"/>
      <c r="B122" s="46">
        <v>44196</v>
      </c>
      <c r="C122" s="52">
        <v>44561</v>
      </c>
      <c r="D122" s="1" t="s">
        <v>144</v>
      </c>
      <c r="E122" s="1" t="s">
        <v>145</v>
      </c>
    </row>
    <row r="123" spans="1:8" x14ac:dyDescent="0.25">
      <c r="A123" s="20" t="s">
        <v>136</v>
      </c>
      <c r="B123" s="48">
        <v>16360</v>
      </c>
      <c r="C123" s="53">
        <v>19900</v>
      </c>
      <c r="D123" s="51">
        <f>C123-B123</f>
        <v>3540</v>
      </c>
      <c r="E123" s="17">
        <f>D123/B123</f>
        <v>0.21638141809290953</v>
      </c>
    </row>
    <row r="124" spans="1:8" x14ac:dyDescent="0.25">
      <c r="A124" s="47" t="s">
        <v>137</v>
      </c>
      <c r="B124" s="48">
        <v>668</v>
      </c>
      <c r="C124" s="53">
        <v>764</v>
      </c>
      <c r="D124" s="51">
        <f t="shared" ref="D124:D132" si="15">C124-B124</f>
        <v>96</v>
      </c>
      <c r="E124" s="17">
        <f t="shared" ref="E124:E132" si="16">D124/B124</f>
        <v>0.1437125748502994</v>
      </c>
    </row>
    <row r="125" spans="1:8" ht="25.5" x14ac:dyDescent="0.25">
      <c r="A125" s="20" t="s">
        <v>141</v>
      </c>
      <c r="B125" s="48">
        <v>4708</v>
      </c>
      <c r="C125" s="53">
        <v>6512</v>
      </c>
      <c r="D125" s="51">
        <f t="shared" si="15"/>
        <v>1804</v>
      </c>
      <c r="E125" s="17">
        <f t="shared" si="16"/>
        <v>0.38317757009345793</v>
      </c>
    </row>
    <row r="126" spans="1:8" x14ac:dyDescent="0.25">
      <c r="A126" s="47" t="s">
        <v>138</v>
      </c>
      <c r="B126" s="48">
        <v>470</v>
      </c>
      <c r="C126" s="53">
        <v>860</v>
      </c>
      <c r="D126" s="51">
        <f t="shared" si="15"/>
        <v>390</v>
      </c>
      <c r="E126" s="17">
        <f t="shared" si="16"/>
        <v>0.82978723404255317</v>
      </c>
    </row>
    <row r="127" spans="1:8" x14ac:dyDescent="0.25">
      <c r="A127" s="20" t="s">
        <v>139</v>
      </c>
      <c r="B127" s="48">
        <v>9784</v>
      </c>
      <c r="C127" s="53">
        <v>10900</v>
      </c>
      <c r="D127" s="51">
        <f t="shared" si="15"/>
        <v>1116</v>
      </c>
      <c r="E127" s="17">
        <f t="shared" si="16"/>
        <v>0.11406377759607522</v>
      </c>
    </row>
    <row r="128" spans="1:8" x14ac:dyDescent="0.25">
      <c r="A128" s="47" t="s">
        <v>140</v>
      </c>
      <c r="B128" s="48">
        <v>1200</v>
      </c>
      <c r="C128" s="53">
        <v>1355</v>
      </c>
      <c r="D128" s="51">
        <f t="shared" si="15"/>
        <v>155</v>
      </c>
      <c r="E128" s="17">
        <f t="shared" si="16"/>
        <v>0.12916666666666668</v>
      </c>
    </row>
    <row r="129" spans="1:7" ht="25.5" x14ac:dyDescent="0.25">
      <c r="A129" s="20" t="s">
        <v>107</v>
      </c>
      <c r="B129" s="48">
        <v>700</v>
      </c>
      <c r="C129" s="53">
        <v>924</v>
      </c>
      <c r="D129" s="51">
        <f t="shared" si="15"/>
        <v>224</v>
      </c>
      <c r="E129" s="17">
        <f t="shared" si="16"/>
        <v>0.32</v>
      </c>
    </row>
    <row r="130" spans="1:7" x14ac:dyDescent="0.25">
      <c r="A130" s="57" t="s">
        <v>95</v>
      </c>
      <c r="B130" s="58">
        <v>5120</v>
      </c>
      <c r="C130" s="59">
        <v>9600</v>
      </c>
      <c r="D130" s="51">
        <f t="shared" si="15"/>
        <v>4480</v>
      </c>
      <c r="E130" s="17">
        <f t="shared" si="16"/>
        <v>0.875</v>
      </c>
    </row>
    <row r="131" spans="1:7" x14ac:dyDescent="0.25">
      <c r="A131" s="50" t="s">
        <v>142</v>
      </c>
      <c r="B131" s="51">
        <f>B129+B127+B125+B124</f>
        <v>15860</v>
      </c>
      <c r="C131" s="54">
        <f>C129+C127+C125+C124</f>
        <v>19100</v>
      </c>
      <c r="D131" s="51">
        <f t="shared" si="15"/>
        <v>3240</v>
      </c>
      <c r="E131" s="17">
        <f t="shared" si="16"/>
        <v>0.20428751576292559</v>
      </c>
    </row>
    <row r="132" spans="1:7" x14ac:dyDescent="0.25">
      <c r="A132" s="1" t="s">
        <v>143</v>
      </c>
      <c r="B132" s="51">
        <f>B123-B131</f>
        <v>500</v>
      </c>
      <c r="C132" s="54">
        <f>C123-C131</f>
        <v>800</v>
      </c>
      <c r="D132" s="51">
        <f t="shared" si="15"/>
        <v>300</v>
      </c>
      <c r="E132" s="17">
        <f t="shared" si="16"/>
        <v>0.6</v>
      </c>
    </row>
    <row r="133" spans="1:7" x14ac:dyDescent="0.25">
      <c r="B133" s="49"/>
      <c r="C133" s="49"/>
      <c r="D133" s="49"/>
      <c r="E133" s="49"/>
    </row>
    <row r="134" spans="1:7" x14ac:dyDescent="0.25">
      <c r="A134" s="1" t="s">
        <v>1</v>
      </c>
      <c r="B134" s="12">
        <v>44196</v>
      </c>
      <c r="C134" s="12">
        <v>44561</v>
      </c>
      <c r="D134" s="1" t="s">
        <v>144</v>
      </c>
      <c r="E134" s="55"/>
    </row>
    <row r="135" spans="1:7" ht="51" x14ac:dyDescent="0.25">
      <c r="A135" s="4" t="s">
        <v>154</v>
      </c>
      <c r="B135" s="61">
        <f>B124/B130</f>
        <v>0.13046874999999999</v>
      </c>
      <c r="C135" s="61">
        <f>C124/C130</f>
        <v>7.9583333333333339E-2</v>
      </c>
      <c r="D135" s="62">
        <f>C135-B135</f>
        <v>-5.0885416666666655E-2</v>
      </c>
      <c r="E135" s="20" t="s">
        <v>146</v>
      </c>
      <c r="F135" s="20" t="s">
        <v>147</v>
      </c>
    </row>
    <row r="136" spans="1:7" ht="76.5" x14ac:dyDescent="0.25">
      <c r="A136" s="4" t="s">
        <v>152</v>
      </c>
      <c r="B136" s="61">
        <f>(B124+B125)/B130</f>
        <v>1.05</v>
      </c>
      <c r="C136" s="61">
        <f>(C124+C125)/C130</f>
        <v>0.75791666666666668</v>
      </c>
      <c r="D136" s="62">
        <f t="shared" ref="D136:D139" si="17">C136-B136</f>
        <v>-0.29208333333333336</v>
      </c>
      <c r="E136" s="20" t="s">
        <v>148</v>
      </c>
      <c r="F136" s="50" t="s">
        <v>149</v>
      </c>
    </row>
    <row r="137" spans="1:7" ht="38.25" x14ac:dyDescent="0.25">
      <c r="A137" s="4" t="s">
        <v>153</v>
      </c>
      <c r="B137" s="60">
        <f>(B123-B132)/B130</f>
        <v>3.09765625</v>
      </c>
      <c r="C137" s="60">
        <f>(C123-C132)/C130</f>
        <v>1.9895833333333333</v>
      </c>
      <c r="D137" s="62">
        <f t="shared" si="17"/>
        <v>-1.1080729166666667</v>
      </c>
      <c r="E137" s="20" t="s">
        <v>150</v>
      </c>
      <c r="F137" s="50" t="s">
        <v>151</v>
      </c>
    </row>
    <row r="138" spans="1:7" ht="60" x14ac:dyDescent="0.25">
      <c r="A138" s="3" t="s">
        <v>155</v>
      </c>
      <c r="B138" s="60">
        <f>(B124+B125-B126)/B130</f>
        <v>0.95820312500000004</v>
      </c>
      <c r="C138" s="60">
        <f>(C124+C125-C126)/C130</f>
        <v>0.66833333333333333</v>
      </c>
      <c r="D138" s="62">
        <f t="shared" si="17"/>
        <v>-0.28986979166666671</v>
      </c>
      <c r="E138" s="56"/>
    </row>
    <row r="139" spans="1:7" ht="60" x14ac:dyDescent="0.25">
      <c r="A139" s="3" t="s">
        <v>156</v>
      </c>
      <c r="B139" s="60">
        <f>(B123-B132-B126-B128)/B130</f>
        <v>2.771484375</v>
      </c>
      <c r="C139" s="60">
        <f>(C123-C132-C126-C128)/C130</f>
        <v>1.7588541666666666</v>
      </c>
      <c r="D139" s="62">
        <f t="shared" si="17"/>
        <v>-1.0126302083333334</v>
      </c>
      <c r="E139" s="51"/>
    </row>
    <row r="140" spans="1:7" x14ac:dyDescent="0.25">
      <c r="A140" s="1"/>
      <c r="B140" s="51"/>
      <c r="C140" s="51"/>
      <c r="D140" s="51"/>
      <c r="E140" s="51"/>
    </row>
    <row r="141" spans="1:7" x14ac:dyDescent="0.25">
      <c r="A141" s="90" t="s">
        <v>157</v>
      </c>
      <c r="B141" s="91"/>
      <c r="C141" s="91"/>
      <c r="D141" s="91"/>
      <c r="E141" s="91"/>
      <c r="F141" s="91"/>
      <c r="G141" s="91"/>
    </row>
    <row r="142" spans="1:7" x14ac:dyDescent="0.25">
      <c r="A142" s="65"/>
      <c r="B142" s="55"/>
      <c r="C142" s="55"/>
      <c r="D142" s="55"/>
      <c r="E142" s="51"/>
    </row>
    <row r="143" spans="1:7" ht="25.5" x14ac:dyDescent="0.25">
      <c r="A143" s="22" t="s">
        <v>103</v>
      </c>
      <c r="B143" s="22" t="s">
        <v>158</v>
      </c>
      <c r="C143" s="22" t="s">
        <v>159</v>
      </c>
      <c r="D143" s="51" t="s">
        <v>163</v>
      </c>
      <c r="E143" s="49"/>
    </row>
    <row r="144" spans="1:7" x14ac:dyDescent="0.25">
      <c r="A144" s="22" t="s">
        <v>160</v>
      </c>
      <c r="B144" s="67">
        <f>B147*B146</f>
        <v>32500</v>
      </c>
      <c r="C144" s="68">
        <f>B144+D144</f>
        <v>42500</v>
      </c>
      <c r="D144" s="51">
        <v>10000</v>
      </c>
      <c r="E144" s="49"/>
    </row>
    <row r="145" spans="1:8" x14ac:dyDescent="0.25">
      <c r="A145" s="47" t="s">
        <v>161</v>
      </c>
      <c r="B145" s="67">
        <f>B144-B148*B146</f>
        <v>13000</v>
      </c>
      <c r="C145" s="68">
        <f>B145+D145</f>
        <v>15500</v>
      </c>
      <c r="D145" s="51">
        <v>2500</v>
      </c>
      <c r="E145" s="49"/>
    </row>
    <row r="146" spans="1:8" x14ac:dyDescent="0.25">
      <c r="A146" s="22" t="s">
        <v>95</v>
      </c>
      <c r="B146" s="67">
        <v>26000</v>
      </c>
      <c r="C146" s="69">
        <v>39000</v>
      </c>
      <c r="D146" s="51"/>
      <c r="E146" s="49"/>
    </row>
    <row r="147" spans="1:8" ht="38.25" x14ac:dyDescent="0.25">
      <c r="A147" s="22" t="s">
        <v>153</v>
      </c>
      <c r="B147" s="67">
        <v>1.25</v>
      </c>
      <c r="C147" s="70">
        <f>C144/C146</f>
        <v>1.0897435897435896</v>
      </c>
      <c r="D147" s="54"/>
      <c r="E147" s="22" t="s">
        <v>150</v>
      </c>
      <c r="F147" s="50" t="s">
        <v>151</v>
      </c>
    </row>
    <row r="148" spans="1:8" ht="25.5" x14ac:dyDescent="0.25">
      <c r="A148" s="22" t="s">
        <v>162</v>
      </c>
      <c r="B148" s="67">
        <v>0.75</v>
      </c>
      <c r="C148" s="71">
        <f>(C144-C145)/C146</f>
        <v>0.69230769230769229</v>
      </c>
      <c r="D148" s="54"/>
      <c r="E148" s="22" t="s">
        <v>165</v>
      </c>
      <c r="F148" s="50" t="s">
        <v>149</v>
      </c>
    </row>
    <row r="149" spans="1:8" ht="25.5" x14ac:dyDescent="0.25">
      <c r="A149" s="66" t="s">
        <v>164</v>
      </c>
      <c r="B149" s="49"/>
      <c r="C149" s="49"/>
      <c r="D149" s="49"/>
      <c r="E149" s="49" t="s">
        <v>166</v>
      </c>
    </row>
    <row r="150" spans="1:8" x14ac:dyDescent="0.25">
      <c r="B150" s="49"/>
      <c r="C150" s="49"/>
      <c r="D150" s="49"/>
      <c r="E150" s="49"/>
    </row>
    <row r="151" spans="1:8" ht="32.25" customHeight="1" x14ac:dyDescent="0.25">
      <c r="A151" s="92" t="s">
        <v>167</v>
      </c>
      <c r="B151" s="91"/>
      <c r="C151" s="91"/>
      <c r="D151" s="91"/>
      <c r="E151" s="91"/>
      <c r="F151" s="91"/>
      <c r="G151" s="91"/>
    </row>
    <row r="152" spans="1:8" x14ac:dyDescent="0.25">
      <c r="A152" s="93" t="s">
        <v>1</v>
      </c>
      <c r="B152" s="93" t="s">
        <v>168</v>
      </c>
      <c r="C152" s="93"/>
      <c r="D152" s="51"/>
      <c r="E152" s="51"/>
    </row>
    <row r="153" spans="1:8" x14ac:dyDescent="0.25">
      <c r="A153" s="93"/>
      <c r="B153" s="12">
        <v>44196</v>
      </c>
      <c r="C153" s="12">
        <v>44561</v>
      </c>
      <c r="D153" s="51" t="s">
        <v>171</v>
      </c>
      <c r="E153" s="51" t="s">
        <v>172</v>
      </c>
    </row>
    <row r="154" spans="1:8" ht="38.25" x14ac:dyDescent="0.25">
      <c r="A154" s="72" t="s">
        <v>169</v>
      </c>
      <c r="B154" s="73">
        <v>1000</v>
      </c>
      <c r="C154" s="73">
        <v>1100</v>
      </c>
      <c r="D154" s="1">
        <f>C154-B154</f>
        <v>100</v>
      </c>
      <c r="E154" s="17">
        <f>D154/B154</f>
        <v>0.1</v>
      </c>
    </row>
    <row r="155" spans="1:8" ht="25.5" x14ac:dyDescent="0.25">
      <c r="A155" s="72" t="s">
        <v>107</v>
      </c>
      <c r="B155" s="73">
        <v>890</v>
      </c>
      <c r="C155" s="73">
        <v>920</v>
      </c>
      <c r="D155" s="1">
        <f t="shared" ref="D155:D158" si="18">C155-B155</f>
        <v>30</v>
      </c>
      <c r="E155" s="17">
        <f t="shared" ref="E155:E157" si="19">D155/B155</f>
        <v>3.3707865168539325E-2</v>
      </c>
    </row>
    <row r="156" spans="1:8" ht="25.5" x14ac:dyDescent="0.25">
      <c r="A156" s="72" t="s">
        <v>170</v>
      </c>
      <c r="B156" s="73">
        <v>1750</v>
      </c>
      <c r="C156" s="73">
        <v>1780</v>
      </c>
      <c r="D156" s="1">
        <f t="shared" si="18"/>
        <v>30</v>
      </c>
      <c r="E156" s="17">
        <f t="shared" si="19"/>
        <v>1.7142857142857144E-2</v>
      </c>
    </row>
    <row r="157" spans="1:8" x14ac:dyDescent="0.25">
      <c r="A157" s="1" t="s">
        <v>173</v>
      </c>
      <c r="B157" s="1">
        <f>B154-B155</f>
        <v>110</v>
      </c>
      <c r="C157" s="1">
        <f>C154-C155</f>
        <v>180</v>
      </c>
      <c r="D157" s="1">
        <f t="shared" si="18"/>
        <v>70</v>
      </c>
      <c r="E157" s="17">
        <f t="shared" si="19"/>
        <v>0.63636363636363635</v>
      </c>
    </row>
    <row r="158" spans="1:8" x14ac:dyDescent="0.25">
      <c r="A158" s="1" t="s">
        <v>174</v>
      </c>
      <c r="B158" s="26">
        <f>B157/B156</f>
        <v>6.2857142857142861E-2</v>
      </c>
      <c r="C158" s="26">
        <f>C157/C156</f>
        <v>0.10112359550561797</v>
      </c>
      <c r="D158" s="27">
        <f t="shared" si="18"/>
        <v>3.8266452648475113E-2</v>
      </c>
      <c r="E158" s="17"/>
    </row>
    <row r="160" spans="1:8" ht="33.75" customHeight="1" x14ac:dyDescent="0.25">
      <c r="A160" s="94" t="s">
        <v>175</v>
      </c>
      <c r="B160" s="94"/>
      <c r="C160" s="94"/>
      <c r="D160" s="94"/>
      <c r="E160" s="94"/>
      <c r="F160" s="94"/>
      <c r="G160" s="94"/>
      <c r="H160" s="94"/>
    </row>
    <row r="161" spans="1:6" x14ac:dyDescent="0.25">
      <c r="A161" s="22" t="s">
        <v>176</v>
      </c>
      <c r="B161" s="12">
        <v>44196</v>
      </c>
      <c r="C161" s="12">
        <v>44561</v>
      </c>
      <c r="D161" s="51" t="s">
        <v>171</v>
      </c>
      <c r="E161" s="51" t="s">
        <v>172</v>
      </c>
    </row>
    <row r="162" spans="1:6" x14ac:dyDescent="0.25">
      <c r="A162" s="22" t="s">
        <v>177</v>
      </c>
      <c r="B162" s="23">
        <v>2500</v>
      </c>
      <c r="C162" s="23">
        <v>2800</v>
      </c>
      <c r="D162" s="1">
        <f>C162-B162</f>
        <v>300</v>
      </c>
      <c r="E162" s="17">
        <f>D162/B162</f>
        <v>0.12</v>
      </c>
    </row>
    <row r="163" spans="1:6" x14ac:dyDescent="0.25">
      <c r="A163" s="22"/>
      <c r="B163" s="23"/>
      <c r="C163" s="23"/>
      <c r="D163" s="1"/>
      <c r="E163" s="1"/>
    </row>
    <row r="164" spans="1:6" x14ac:dyDescent="0.25">
      <c r="A164" s="22" t="s">
        <v>178</v>
      </c>
      <c r="B164" s="12">
        <v>44196</v>
      </c>
      <c r="C164" s="12">
        <v>44561</v>
      </c>
      <c r="D164" s="1"/>
      <c r="E164" s="1"/>
    </row>
    <row r="165" spans="1:6" x14ac:dyDescent="0.25">
      <c r="A165" s="22" t="s">
        <v>179</v>
      </c>
      <c r="B165" s="23">
        <v>1600</v>
      </c>
      <c r="C165" s="23">
        <v>1600</v>
      </c>
      <c r="D165" s="1">
        <f>C165-B165</f>
        <v>0</v>
      </c>
      <c r="E165" s="17">
        <f>D165/B165</f>
        <v>0</v>
      </c>
    </row>
    <row r="166" spans="1:6" ht="25.5" x14ac:dyDescent="0.25">
      <c r="A166" s="22" t="s">
        <v>180</v>
      </c>
      <c r="B166" s="23">
        <v>2200</v>
      </c>
      <c r="C166" s="23">
        <v>2900</v>
      </c>
      <c r="D166" s="1">
        <f>C166-B166</f>
        <v>700</v>
      </c>
      <c r="E166" s="17">
        <f>D166/B166</f>
        <v>0.31818181818181818</v>
      </c>
    </row>
    <row r="167" spans="1:6" x14ac:dyDescent="0.25">
      <c r="A167" s="77" t="s">
        <v>185</v>
      </c>
      <c r="B167" s="78">
        <f>B165+B166</f>
        <v>3800</v>
      </c>
      <c r="C167" s="78">
        <f>C165+C166</f>
        <v>4500</v>
      </c>
      <c r="D167" s="1">
        <f>C167-B167</f>
        <v>700</v>
      </c>
      <c r="E167" s="17">
        <f>D167/B167</f>
        <v>0.18421052631578946</v>
      </c>
    </row>
    <row r="168" spans="1:6" ht="26.25" x14ac:dyDescent="0.25">
      <c r="A168" s="75" t="s">
        <v>181</v>
      </c>
      <c r="B168" s="1">
        <f>B167-B162</f>
        <v>1300</v>
      </c>
      <c r="C168" s="1">
        <f>C167-C162</f>
        <v>1700</v>
      </c>
      <c r="D168" s="1">
        <f>C168-B168</f>
        <v>400</v>
      </c>
      <c r="E168" s="17">
        <f>D168/B168</f>
        <v>0.30769230769230771</v>
      </c>
    </row>
    <row r="169" spans="1:6" ht="55.5" customHeight="1" x14ac:dyDescent="0.25">
      <c r="A169" s="3" t="s">
        <v>182</v>
      </c>
      <c r="B169" s="1"/>
      <c r="C169" s="1"/>
      <c r="D169" s="1"/>
      <c r="E169" s="1"/>
    </row>
    <row r="170" spans="1:6" ht="39" x14ac:dyDescent="0.25">
      <c r="A170" s="76" t="s">
        <v>184</v>
      </c>
      <c r="B170" s="26">
        <f>B168/B167</f>
        <v>0.34210526315789475</v>
      </c>
      <c r="C170" s="26">
        <f>C168/C167</f>
        <v>0.37777777777777777</v>
      </c>
      <c r="D170" s="26">
        <f>C170-B170</f>
        <v>3.5672514619883022E-2</v>
      </c>
      <c r="E170" s="74" t="s">
        <v>186</v>
      </c>
    </row>
    <row r="171" spans="1:6" ht="64.5" x14ac:dyDescent="0.25">
      <c r="A171" s="76" t="s">
        <v>183</v>
      </c>
      <c r="B171" s="1"/>
      <c r="C171" s="1"/>
      <c r="D171" s="1"/>
      <c r="E171" s="1"/>
    </row>
    <row r="173" spans="1:6" ht="37.5" customHeight="1" x14ac:dyDescent="0.25">
      <c r="A173" s="89" t="s">
        <v>187</v>
      </c>
      <c r="B173" s="89"/>
      <c r="C173" s="89"/>
      <c r="D173" s="89"/>
      <c r="E173" s="89"/>
      <c r="F173" s="89"/>
    </row>
    <row r="174" spans="1:6" ht="38.25" x14ac:dyDescent="0.25">
      <c r="A174" s="15" t="s">
        <v>1</v>
      </c>
      <c r="B174" s="22" t="s">
        <v>188</v>
      </c>
      <c r="C174" s="22" t="s">
        <v>189</v>
      </c>
      <c r="D174" s="51" t="s">
        <v>171</v>
      </c>
      <c r="E174" s="51" t="s">
        <v>172</v>
      </c>
    </row>
    <row r="175" spans="1:6" ht="25.5" x14ac:dyDescent="0.25">
      <c r="A175" s="22" t="s">
        <v>190</v>
      </c>
      <c r="B175" s="78">
        <v>1380</v>
      </c>
      <c r="C175" s="78">
        <v>1260</v>
      </c>
      <c r="D175" s="1">
        <f>C175-B175</f>
        <v>-120</v>
      </c>
      <c r="E175" s="86">
        <f>D175/B175</f>
        <v>-8.6956521739130432E-2</v>
      </c>
    </row>
    <row r="176" spans="1:6" x14ac:dyDescent="0.25">
      <c r="A176" s="22" t="s">
        <v>191</v>
      </c>
      <c r="B176" s="23">
        <v>1240</v>
      </c>
      <c r="C176" s="23">
        <v>1150</v>
      </c>
      <c r="D176" s="1">
        <f t="shared" ref="D176:D182" si="20">C176-B176</f>
        <v>-90</v>
      </c>
      <c r="E176" s="86">
        <f t="shared" ref="E176:E181" si="21">D176/B176</f>
        <v>-7.2580645161290328E-2</v>
      </c>
    </row>
    <row r="177" spans="1:8" ht="25.5" x14ac:dyDescent="0.25">
      <c r="A177" s="22" t="s">
        <v>192</v>
      </c>
      <c r="B177" s="79">
        <v>6500</v>
      </c>
      <c r="C177" s="23">
        <f>B177+D181</f>
        <v>6398</v>
      </c>
      <c r="D177" s="87">
        <f t="shared" si="20"/>
        <v>-102</v>
      </c>
      <c r="E177" s="86">
        <f t="shared" si="21"/>
        <v>-1.5692307692307693E-2</v>
      </c>
    </row>
    <row r="178" spans="1:8" x14ac:dyDescent="0.25">
      <c r="A178" s="82" t="s">
        <v>193</v>
      </c>
      <c r="B178" s="84">
        <f>B179+B180</f>
        <v>248</v>
      </c>
      <c r="C178" s="78">
        <f>C179+C180</f>
        <v>230</v>
      </c>
      <c r="D178" s="1">
        <f t="shared" si="20"/>
        <v>-18</v>
      </c>
      <c r="E178" s="86">
        <f t="shared" si="21"/>
        <v>-7.2580645161290328E-2</v>
      </c>
    </row>
    <row r="179" spans="1:8" x14ac:dyDescent="0.25">
      <c r="A179" s="83" t="s">
        <v>197</v>
      </c>
      <c r="B179" s="80">
        <f>B176*0.2</f>
        <v>248</v>
      </c>
      <c r="C179" s="1">
        <f>C176*0.2</f>
        <v>230</v>
      </c>
      <c r="D179" s="1">
        <f t="shared" si="20"/>
        <v>-18</v>
      </c>
      <c r="E179" s="86">
        <f t="shared" si="21"/>
        <v>-7.2580645161290328E-2</v>
      </c>
    </row>
    <row r="180" spans="1:8" ht="24" x14ac:dyDescent="0.25">
      <c r="A180" s="82" t="s">
        <v>196</v>
      </c>
      <c r="B180" s="80">
        <v>0</v>
      </c>
      <c r="C180" s="1">
        <v>0</v>
      </c>
      <c r="D180" s="1">
        <f t="shared" si="20"/>
        <v>0</v>
      </c>
      <c r="E180" s="86"/>
    </row>
    <row r="181" spans="1:8" x14ac:dyDescent="0.25">
      <c r="A181" s="81" t="s">
        <v>194</v>
      </c>
      <c r="B181" s="85">
        <f>B175-B178</f>
        <v>1132</v>
      </c>
      <c r="C181" s="85">
        <f>C175-C178</f>
        <v>1030</v>
      </c>
      <c r="D181" s="87">
        <f t="shared" si="20"/>
        <v>-102</v>
      </c>
      <c r="E181" s="86">
        <f t="shared" si="21"/>
        <v>-9.0106007067137811E-2</v>
      </c>
    </row>
    <row r="182" spans="1:8" x14ac:dyDescent="0.25">
      <c r="A182" s="1" t="s">
        <v>195</v>
      </c>
      <c r="B182" s="17">
        <f>B181/B177</f>
        <v>0.17415384615384616</v>
      </c>
      <c r="C182" s="17">
        <f>C181/C177</f>
        <v>0.1609878086902157</v>
      </c>
      <c r="D182" s="88">
        <f t="shared" si="20"/>
        <v>-1.3166037463630459E-2</v>
      </c>
      <c r="E182" s="1"/>
    </row>
    <row r="183" spans="1:8" x14ac:dyDescent="0.25">
      <c r="A183" s="1"/>
      <c r="B183" s="1"/>
      <c r="C183" s="1"/>
      <c r="D183" s="1"/>
      <c r="E183" s="1"/>
    </row>
    <row r="185" spans="1:8" ht="42" customHeight="1" x14ac:dyDescent="0.25">
      <c r="A185" s="91" t="s">
        <v>198</v>
      </c>
      <c r="B185" s="91"/>
      <c r="C185" s="91"/>
      <c r="D185" s="91"/>
      <c r="E185" s="91"/>
      <c r="F185" s="91"/>
      <c r="G185" s="91"/>
      <c r="H185" s="91"/>
    </row>
    <row r="186" spans="1:8" x14ac:dyDescent="0.25">
      <c r="A186" s="95" t="s">
        <v>103</v>
      </c>
      <c r="B186" s="95" t="s">
        <v>199</v>
      </c>
      <c r="C186" s="95"/>
      <c r="D186" s="1"/>
      <c r="E186" s="1"/>
    </row>
    <row r="187" spans="1:8" ht="51" x14ac:dyDescent="0.25">
      <c r="A187" s="95"/>
      <c r="B187" s="63" t="s">
        <v>200</v>
      </c>
      <c r="C187" s="63" t="s">
        <v>201</v>
      </c>
      <c r="D187" s="51" t="s">
        <v>171</v>
      </c>
      <c r="E187" s="51" t="s">
        <v>172</v>
      </c>
      <c r="F187" s="25" t="s">
        <v>209</v>
      </c>
    </row>
    <row r="188" spans="1:8" x14ac:dyDescent="0.25">
      <c r="A188" s="63" t="s">
        <v>202</v>
      </c>
      <c r="B188" s="103">
        <v>258710</v>
      </c>
      <c r="C188" s="103">
        <v>272708</v>
      </c>
      <c r="D188" s="104">
        <f>C188-B188</f>
        <v>13998</v>
      </c>
      <c r="E188" s="17">
        <f>D188/B188</f>
        <v>5.4106915078659501E-2</v>
      </c>
      <c r="F188" s="17">
        <f>D188/C188</f>
        <v>5.1329627293662083E-2</v>
      </c>
    </row>
    <row r="189" spans="1:8" ht="25.5" x14ac:dyDescent="0.25">
      <c r="A189" s="63" t="s">
        <v>203</v>
      </c>
      <c r="B189" s="103">
        <v>103396</v>
      </c>
      <c r="C189" s="103">
        <v>98510</v>
      </c>
      <c r="D189" s="104">
        <f t="shared" ref="D189:D193" si="22">C189-B189</f>
        <v>-4886</v>
      </c>
      <c r="E189" s="17">
        <f t="shared" ref="E189:E193" si="23">D189/B189</f>
        <v>-4.7255212967619635E-2</v>
      </c>
      <c r="F189" s="17">
        <f>-D189/$C$188</f>
        <v>1.7916599439693738E-2</v>
      </c>
    </row>
    <row r="190" spans="1:8" ht="38.25" x14ac:dyDescent="0.25">
      <c r="A190" s="63" t="s">
        <v>204</v>
      </c>
      <c r="B190" s="103">
        <v>15432</v>
      </c>
      <c r="C190" s="103">
        <v>14505</v>
      </c>
      <c r="D190" s="104">
        <f t="shared" si="22"/>
        <v>-927</v>
      </c>
      <c r="E190" s="17">
        <f t="shared" si="23"/>
        <v>-6.0069984447900467E-2</v>
      </c>
      <c r="F190" s="17">
        <f t="shared" ref="F190:F191" si="24">-D190/$C$188</f>
        <v>3.3992402129750503E-3</v>
      </c>
    </row>
    <row r="191" spans="1:8" ht="63.75" x14ac:dyDescent="0.25">
      <c r="A191" s="63" t="s">
        <v>205</v>
      </c>
      <c r="B191" s="103">
        <v>29025</v>
      </c>
      <c r="C191" s="103">
        <v>25095</v>
      </c>
      <c r="D191" s="104">
        <f t="shared" si="22"/>
        <v>-3930</v>
      </c>
      <c r="E191" s="17">
        <f t="shared" si="23"/>
        <v>-0.13540051679586562</v>
      </c>
      <c r="F191" s="17">
        <f t="shared" si="24"/>
        <v>1.441101837863209E-2</v>
      </c>
    </row>
    <row r="192" spans="1:8" x14ac:dyDescent="0.25">
      <c r="A192" s="1" t="s">
        <v>206</v>
      </c>
      <c r="B192" s="104">
        <f>B188-B189-B190-B191</f>
        <v>110857</v>
      </c>
      <c r="C192" s="104">
        <f>C188-C189-C190-C191</f>
        <v>134598</v>
      </c>
      <c r="D192" s="104">
        <f t="shared" si="22"/>
        <v>23741</v>
      </c>
      <c r="E192" s="17">
        <f t="shared" si="23"/>
        <v>0.2141587811324499</v>
      </c>
      <c r="F192" s="1"/>
    </row>
    <row r="193" spans="1:6" x14ac:dyDescent="0.25">
      <c r="A193" s="1" t="s">
        <v>207</v>
      </c>
      <c r="B193" s="17">
        <f>B192/B188</f>
        <v>0.42849909164701788</v>
      </c>
      <c r="C193" s="17">
        <f>C192/C188</f>
        <v>0.49356087830206669</v>
      </c>
      <c r="D193" s="17">
        <f t="shared" si="22"/>
        <v>6.5061786655048803E-2</v>
      </c>
      <c r="E193" s="17"/>
      <c r="F193" s="1"/>
    </row>
    <row r="194" spans="1:6" ht="51" x14ac:dyDescent="0.25">
      <c r="A194" s="25" t="s">
        <v>208</v>
      </c>
      <c r="B194" s="1"/>
      <c r="C194" s="1"/>
      <c r="D194" s="86">
        <f>-D191/C188</f>
        <v>1.441101837863209E-2</v>
      </c>
    </row>
    <row r="196" spans="1:6" ht="62.25" customHeight="1" x14ac:dyDescent="0.25">
      <c r="A196" s="89" t="s">
        <v>210</v>
      </c>
      <c r="B196" s="89"/>
      <c r="C196" s="89"/>
      <c r="D196" s="89"/>
      <c r="E196" s="89"/>
      <c r="F196" s="89"/>
    </row>
    <row r="197" spans="1:6" x14ac:dyDescent="0.25">
      <c r="A197" s="1" t="s">
        <v>1</v>
      </c>
      <c r="B197" s="1" t="s">
        <v>211</v>
      </c>
      <c r="C197" s="1" t="s">
        <v>212</v>
      </c>
      <c r="D197" s="51" t="s">
        <v>171</v>
      </c>
      <c r="E197" s="51" t="s">
        <v>172</v>
      </c>
    </row>
    <row r="198" spans="1:6" ht="30" x14ac:dyDescent="0.25">
      <c r="A198" s="3" t="s">
        <v>214</v>
      </c>
      <c r="B198" s="1">
        <v>250</v>
      </c>
      <c r="C198" s="1">
        <f>B198</f>
        <v>250</v>
      </c>
      <c r="D198" s="104">
        <f>C198-B198</f>
        <v>0</v>
      </c>
      <c r="E198" s="17">
        <f>D198/B198</f>
        <v>0</v>
      </c>
    </row>
    <row r="199" spans="1:6" x14ac:dyDescent="0.25">
      <c r="A199" s="3" t="s">
        <v>213</v>
      </c>
      <c r="B199" s="1">
        <f>B198*0.9</f>
        <v>225</v>
      </c>
      <c r="C199" s="1">
        <f>C198*(90%-4%)</f>
        <v>215</v>
      </c>
      <c r="D199" s="104">
        <f t="shared" ref="D199:D204" si="25">C199-B199</f>
        <v>-10</v>
      </c>
      <c r="E199" s="17">
        <f t="shared" ref="E199:E203" si="26">D199/B199</f>
        <v>-4.4444444444444446E-2</v>
      </c>
    </row>
    <row r="200" spans="1:6" x14ac:dyDescent="0.25">
      <c r="A200" s="3" t="s">
        <v>217</v>
      </c>
      <c r="B200" s="1">
        <v>165</v>
      </c>
      <c r="C200" s="1">
        <v>165</v>
      </c>
      <c r="D200" s="104">
        <f t="shared" si="25"/>
        <v>0</v>
      </c>
      <c r="E200" s="17">
        <f t="shared" si="26"/>
        <v>0</v>
      </c>
    </row>
    <row r="201" spans="1:6" x14ac:dyDescent="0.25">
      <c r="A201" s="3" t="s">
        <v>215</v>
      </c>
      <c r="B201" s="1">
        <v>55</v>
      </c>
      <c r="C201" s="1">
        <f>B201*(1-25%)</f>
        <v>41.25</v>
      </c>
      <c r="D201" s="104">
        <f t="shared" si="25"/>
        <v>-13.75</v>
      </c>
      <c r="E201" s="17">
        <f t="shared" si="26"/>
        <v>-0.25</v>
      </c>
    </row>
    <row r="202" spans="1:6" x14ac:dyDescent="0.25">
      <c r="A202" s="106" t="s">
        <v>23</v>
      </c>
      <c r="B202" s="1">
        <f>B198+B199</f>
        <v>475</v>
      </c>
      <c r="C202" s="1">
        <f>C198+C199</f>
        <v>465</v>
      </c>
      <c r="D202" s="104">
        <f t="shared" si="25"/>
        <v>-10</v>
      </c>
      <c r="E202" s="17">
        <f t="shared" si="26"/>
        <v>-2.1052631578947368E-2</v>
      </c>
    </row>
    <row r="203" spans="1:6" x14ac:dyDescent="0.25">
      <c r="A203" s="3" t="s">
        <v>206</v>
      </c>
      <c r="B203" s="1">
        <f>B202-B198-B200-B201</f>
        <v>5</v>
      </c>
      <c r="C203" s="1">
        <f>C202-C198-C200-C201</f>
        <v>8.75</v>
      </c>
      <c r="D203" s="104">
        <f t="shared" si="25"/>
        <v>3.75</v>
      </c>
      <c r="E203" s="17">
        <f t="shared" si="26"/>
        <v>0.75</v>
      </c>
    </row>
    <row r="204" spans="1:6" x14ac:dyDescent="0.25">
      <c r="A204" s="3" t="s">
        <v>216</v>
      </c>
      <c r="B204" s="17">
        <f>B203/B202</f>
        <v>1.0526315789473684E-2</v>
      </c>
      <c r="C204" s="17">
        <f>C203/C202</f>
        <v>1.8817204301075269E-2</v>
      </c>
      <c r="D204" s="17">
        <f t="shared" si="25"/>
        <v>8.2908885116015855E-3</v>
      </c>
      <c r="E204" s="17"/>
    </row>
    <row r="206" spans="1:6" ht="56.25" customHeight="1" x14ac:dyDescent="0.25">
      <c r="A206" s="107" t="s">
        <v>234</v>
      </c>
      <c r="B206" s="91"/>
      <c r="C206" s="91"/>
      <c r="D206" s="91"/>
      <c r="E206" s="91"/>
    </row>
    <row r="207" spans="1:6" ht="38.25" x14ac:dyDescent="0.25">
      <c r="A207" s="63" t="s">
        <v>103</v>
      </c>
      <c r="B207" s="64" t="s">
        <v>218</v>
      </c>
      <c r="C207" s="1" t="s">
        <v>235</v>
      </c>
      <c r="D207" s="1"/>
    </row>
    <row r="208" spans="1:6" ht="25.5" x14ac:dyDescent="0.25">
      <c r="A208" s="63" t="s">
        <v>219</v>
      </c>
      <c r="B208" s="103">
        <v>921000</v>
      </c>
      <c r="C208" s="1"/>
      <c r="D208" s="1"/>
    </row>
    <row r="209" spans="1:6" ht="25.5" x14ac:dyDescent="0.25">
      <c r="A209" s="63" t="s">
        <v>220</v>
      </c>
      <c r="B209" s="103">
        <v>1050000</v>
      </c>
      <c r="C209" s="1"/>
      <c r="D209" s="1"/>
    </row>
    <row r="210" spans="1:6" ht="38.25" x14ac:dyDescent="0.25">
      <c r="A210" s="63" t="s">
        <v>221</v>
      </c>
      <c r="B210" s="103">
        <v>954000</v>
      </c>
      <c r="C210" s="1"/>
      <c r="D210" s="1"/>
    </row>
    <row r="211" spans="1:6" ht="25.5" x14ac:dyDescent="0.25">
      <c r="A211" s="63" t="s">
        <v>222</v>
      </c>
      <c r="B211" s="103">
        <v>6545000</v>
      </c>
      <c r="C211" s="1"/>
      <c r="D211" s="1"/>
    </row>
    <row r="212" spans="1:6" ht="25.5" x14ac:dyDescent="0.25">
      <c r="A212" s="33" t="s">
        <v>223</v>
      </c>
      <c r="B212" s="34">
        <v>5200000</v>
      </c>
      <c r="C212" s="65"/>
      <c r="D212" s="65"/>
    </row>
    <row r="213" spans="1:6" ht="26.25" x14ac:dyDescent="0.25">
      <c r="A213" s="25" t="s">
        <v>226</v>
      </c>
      <c r="B213" s="108">
        <f>365*B208/B211</f>
        <v>51.362108479755541</v>
      </c>
      <c r="C213" s="3">
        <v>44</v>
      </c>
      <c r="D213" s="108">
        <f>B213-C213</f>
        <v>7.3621084797555412</v>
      </c>
      <c r="E213" s="76" t="s">
        <v>228</v>
      </c>
    </row>
    <row r="214" spans="1:6" ht="26.25" x14ac:dyDescent="0.25">
      <c r="A214" s="25" t="s">
        <v>224</v>
      </c>
      <c r="B214" s="109">
        <f>365*B209/B212</f>
        <v>73.70192307692308</v>
      </c>
      <c r="C214" s="3">
        <f>C216-C213</f>
        <v>58</v>
      </c>
      <c r="D214" s="108">
        <f t="shared" ref="D214:D217" si="27">B214-C214</f>
        <v>15.70192307692308</v>
      </c>
      <c r="E214" s="76" t="s">
        <v>225</v>
      </c>
    </row>
    <row r="215" spans="1:6" ht="38.25" x14ac:dyDescent="0.25">
      <c r="A215" s="25" t="s">
        <v>227</v>
      </c>
      <c r="B215" s="108">
        <f>365*B210/B211</f>
        <v>53.20244461420932</v>
      </c>
      <c r="C215" s="3">
        <v>46</v>
      </c>
      <c r="D215" s="108">
        <f t="shared" si="27"/>
        <v>7.2024446142093197</v>
      </c>
      <c r="E215" s="76" t="s">
        <v>229</v>
      </c>
    </row>
    <row r="216" spans="1:6" ht="38.25" x14ac:dyDescent="0.25">
      <c r="A216" s="63" t="s">
        <v>230</v>
      </c>
      <c r="B216" s="108">
        <f>B214+B213</f>
        <v>125.06403155667863</v>
      </c>
      <c r="C216" s="3">
        <v>102</v>
      </c>
      <c r="D216" s="108">
        <f t="shared" si="27"/>
        <v>23.064031556678628</v>
      </c>
      <c r="E216" s="63" t="s">
        <v>232</v>
      </c>
    </row>
    <row r="217" spans="1:6" ht="63.75" x14ac:dyDescent="0.25">
      <c r="A217" s="63" t="s">
        <v>231</v>
      </c>
      <c r="B217" s="108">
        <f>B216-B215</f>
        <v>71.861586942469302</v>
      </c>
      <c r="C217" s="3">
        <f>C216-C215</f>
        <v>56</v>
      </c>
      <c r="D217" s="108">
        <f t="shared" si="27"/>
        <v>15.861586942469302</v>
      </c>
      <c r="E217" s="63" t="s">
        <v>233</v>
      </c>
    </row>
    <row r="219" spans="1:6" ht="30.75" customHeight="1" x14ac:dyDescent="0.25">
      <c r="A219" s="92" t="s">
        <v>236</v>
      </c>
      <c r="B219" s="91"/>
      <c r="C219" s="91"/>
      <c r="D219" s="91"/>
      <c r="E219" s="91"/>
      <c r="F219" s="91"/>
    </row>
    <row r="220" spans="1:6" ht="25.5" x14ac:dyDescent="0.25">
      <c r="A220" s="63" t="s">
        <v>93</v>
      </c>
      <c r="B220" s="63" t="s">
        <v>237</v>
      </c>
      <c r="C220" s="63" t="s">
        <v>238</v>
      </c>
      <c r="D220" s="1"/>
      <c r="E220" s="1"/>
    </row>
    <row r="221" spans="1:6" x14ac:dyDescent="0.25">
      <c r="A221" s="63" t="s">
        <v>239</v>
      </c>
      <c r="B221" s="64">
        <v>290314</v>
      </c>
      <c r="C221" s="103">
        <v>371643</v>
      </c>
      <c r="D221" s="1"/>
      <c r="E221" s="1"/>
    </row>
    <row r="222" spans="1:6" x14ac:dyDescent="0.25">
      <c r="A222" s="63" t="s">
        <v>240</v>
      </c>
      <c r="B222" s="64">
        <v>215050</v>
      </c>
      <c r="C222" s="103">
        <v>310000</v>
      </c>
      <c r="D222" s="1"/>
      <c r="E222" s="1"/>
    </row>
    <row r="223" spans="1:6" x14ac:dyDescent="0.25">
      <c r="A223" s="63" t="s">
        <v>241</v>
      </c>
      <c r="B223" s="64"/>
      <c r="C223" s="64"/>
      <c r="D223" s="1"/>
      <c r="E223" s="1"/>
    </row>
    <row r="224" spans="1:6" ht="25.5" x14ac:dyDescent="0.25">
      <c r="A224" s="47" t="s">
        <v>242</v>
      </c>
      <c r="B224" s="64">
        <v>37683</v>
      </c>
      <c r="C224" s="103">
        <v>49463</v>
      </c>
      <c r="D224" s="1"/>
      <c r="E224" s="1"/>
    </row>
    <row r="225" spans="1:6" ht="25.5" x14ac:dyDescent="0.25">
      <c r="A225" s="47" t="s">
        <v>244</v>
      </c>
      <c r="B225" s="64"/>
      <c r="C225" s="103">
        <f>(B224+C224)/2</f>
        <v>43573</v>
      </c>
      <c r="D225" s="1"/>
      <c r="E225" s="1"/>
    </row>
    <row r="226" spans="1:6" ht="25.5" x14ac:dyDescent="0.25">
      <c r="A226" s="47" t="s">
        <v>243</v>
      </c>
      <c r="B226" s="64">
        <v>36600</v>
      </c>
      <c r="C226" s="103">
        <v>45300</v>
      </c>
      <c r="D226" s="1"/>
      <c r="E226" s="1"/>
    </row>
    <row r="227" spans="1:6" ht="25.5" x14ac:dyDescent="0.25">
      <c r="A227" s="47" t="s">
        <v>245</v>
      </c>
      <c r="B227" s="64"/>
      <c r="C227" s="103">
        <f>(B226+C226)/2</f>
        <v>40950</v>
      </c>
      <c r="D227" s="1"/>
      <c r="E227" s="1"/>
    </row>
    <row r="228" spans="1:6" ht="26.25" x14ac:dyDescent="0.25">
      <c r="A228" s="25" t="s">
        <v>226</v>
      </c>
      <c r="B228" s="108"/>
      <c r="C228" s="108">
        <f>365*C225/C221</f>
        <v>42.794146533097624</v>
      </c>
      <c r="D228" s="108"/>
      <c r="E228" s="76" t="s">
        <v>228</v>
      </c>
    </row>
    <row r="229" spans="1:6" ht="38.25" x14ac:dyDescent="0.25">
      <c r="A229" s="25" t="s">
        <v>227</v>
      </c>
      <c r="B229" s="108"/>
      <c r="C229" s="108">
        <f>365*C227/C221</f>
        <v>40.21803182086034</v>
      </c>
      <c r="D229" s="108"/>
      <c r="E229" s="76" t="s">
        <v>229</v>
      </c>
    </row>
    <row r="231" spans="1:6" ht="18" customHeight="1" x14ac:dyDescent="0.25">
      <c r="A231" s="107" t="s">
        <v>246</v>
      </c>
      <c r="B231" s="91"/>
      <c r="C231" s="91"/>
      <c r="D231" s="91"/>
      <c r="E231" s="91"/>
      <c r="F231" s="91"/>
    </row>
    <row r="232" spans="1:6" ht="25.5" customHeight="1" x14ac:dyDescent="0.25">
      <c r="A232" s="107" t="s">
        <v>247</v>
      </c>
      <c r="B232" s="91"/>
      <c r="C232" s="91"/>
      <c r="D232" s="91"/>
      <c r="E232" s="91"/>
      <c r="F232" s="91"/>
    </row>
    <row r="233" spans="1:6" ht="18" customHeight="1" x14ac:dyDescent="0.25">
      <c r="A233" s="107" t="s">
        <v>248</v>
      </c>
      <c r="B233" s="91"/>
      <c r="C233" s="91"/>
      <c r="D233" s="91"/>
      <c r="E233" s="91"/>
      <c r="F233" s="91"/>
    </row>
    <row r="234" spans="1:6" x14ac:dyDescent="0.25">
      <c r="A234" s="65" t="s">
        <v>1</v>
      </c>
      <c r="B234" s="1" t="s">
        <v>249</v>
      </c>
      <c r="C234" s="1" t="s">
        <v>250</v>
      </c>
      <c r="D234" s="51" t="s">
        <v>171</v>
      </c>
      <c r="E234" s="51" t="s">
        <v>172</v>
      </c>
    </row>
    <row r="235" spans="1:6" ht="24" x14ac:dyDescent="0.25">
      <c r="A235" s="112" t="s">
        <v>251</v>
      </c>
      <c r="B235" s="113">
        <v>1000</v>
      </c>
      <c r="C235" s="114">
        <v>700</v>
      </c>
      <c r="D235" s="104">
        <f>C235-B235</f>
        <v>-300</v>
      </c>
      <c r="E235" s="115">
        <f>D235/B235</f>
        <v>-0.3</v>
      </c>
    </row>
    <row r="236" spans="1:6" ht="24" customHeight="1" x14ac:dyDescent="0.25">
      <c r="A236" s="83" t="s">
        <v>255</v>
      </c>
      <c r="B236" s="80">
        <f>0</f>
        <v>0</v>
      </c>
      <c r="C236" s="1">
        <v>110</v>
      </c>
      <c r="D236" s="104">
        <f t="shared" ref="D236:D242" si="28">C236-B236</f>
        <v>110</v>
      </c>
      <c r="E236" s="17"/>
    </row>
    <row r="237" spans="1:6" ht="24" customHeight="1" x14ac:dyDescent="0.25">
      <c r="A237" s="83" t="s">
        <v>63</v>
      </c>
      <c r="B237" s="80">
        <f>B236*20%</f>
        <v>0</v>
      </c>
      <c r="C237" s="80">
        <f>C236*20%</f>
        <v>22</v>
      </c>
      <c r="D237" s="104">
        <f t="shared" si="28"/>
        <v>22</v>
      </c>
      <c r="E237" s="17"/>
    </row>
    <row r="238" spans="1:6" x14ac:dyDescent="0.25">
      <c r="A238" s="110" t="s">
        <v>254</v>
      </c>
      <c r="B238" s="111">
        <f>B235+B236</f>
        <v>1000</v>
      </c>
      <c r="C238" s="111">
        <f>C235+C236</f>
        <v>810</v>
      </c>
      <c r="D238" s="104">
        <f t="shared" si="28"/>
        <v>-190</v>
      </c>
      <c r="E238" s="17">
        <f t="shared" ref="E236:E242" si="29">D238/B238</f>
        <v>-0.19</v>
      </c>
    </row>
    <row r="239" spans="1:6" x14ac:dyDescent="0.25">
      <c r="A239" s="112" t="s">
        <v>193</v>
      </c>
      <c r="B239" s="113">
        <f>B240+B241</f>
        <v>200</v>
      </c>
      <c r="C239" s="113">
        <f>C240+C241</f>
        <v>140</v>
      </c>
      <c r="D239" s="104">
        <f t="shared" si="28"/>
        <v>-60</v>
      </c>
      <c r="E239" s="115">
        <f t="shared" si="29"/>
        <v>-0.3</v>
      </c>
    </row>
    <row r="240" spans="1:6" x14ac:dyDescent="0.25">
      <c r="A240" s="110" t="s">
        <v>253</v>
      </c>
      <c r="B240" s="111">
        <f>B238*20%</f>
        <v>200</v>
      </c>
      <c r="C240" s="111">
        <f>C238*20%</f>
        <v>162</v>
      </c>
      <c r="D240" s="104">
        <f t="shared" si="28"/>
        <v>-38</v>
      </c>
      <c r="E240" s="17">
        <f t="shared" si="29"/>
        <v>-0.19</v>
      </c>
    </row>
    <row r="241" spans="1:6" ht="24" x14ac:dyDescent="0.25">
      <c r="A241" s="82" t="s">
        <v>196</v>
      </c>
      <c r="B241" s="80">
        <f>0-B237</f>
        <v>0</v>
      </c>
      <c r="C241" s="80">
        <f>0-C237</f>
        <v>-22</v>
      </c>
      <c r="D241" s="104">
        <f t="shared" si="28"/>
        <v>-22</v>
      </c>
      <c r="E241" s="17"/>
    </row>
    <row r="242" spans="1:6" x14ac:dyDescent="0.25">
      <c r="A242" s="112" t="s">
        <v>252</v>
      </c>
      <c r="B242" s="113">
        <f>B235-B239</f>
        <v>800</v>
      </c>
      <c r="C242" s="113">
        <f>C235-C239</f>
        <v>560</v>
      </c>
      <c r="D242" s="104">
        <f t="shared" si="28"/>
        <v>-240</v>
      </c>
      <c r="E242" s="115">
        <f t="shared" si="29"/>
        <v>-0.3</v>
      </c>
    </row>
    <row r="243" spans="1:6" x14ac:dyDescent="0.25">
      <c r="A243" s="1" t="s">
        <v>256</v>
      </c>
      <c r="B243" s="80">
        <v>5600</v>
      </c>
      <c r="C243" s="104">
        <f>B243+D242</f>
        <v>5360</v>
      </c>
      <c r="D243" s="104">
        <f t="shared" ref="D243:D244" si="30">C243-B243</f>
        <v>-240</v>
      </c>
      <c r="E243" s="116">
        <f t="shared" ref="E243" si="31">D243/B243</f>
        <v>-4.2857142857142858E-2</v>
      </c>
    </row>
    <row r="244" spans="1:6" x14ac:dyDescent="0.25">
      <c r="A244" s="1" t="s">
        <v>257</v>
      </c>
      <c r="B244" s="117">
        <f>B242/B243</f>
        <v>0.14285714285714285</v>
      </c>
      <c r="C244" s="117">
        <f>C242/C243</f>
        <v>0.1044776119402985</v>
      </c>
      <c r="D244" s="17">
        <f t="shared" si="30"/>
        <v>-3.8379530916844345E-2</v>
      </c>
      <c r="E244" s="1"/>
    </row>
    <row r="246" spans="1:6" ht="54" customHeight="1" x14ac:dyDescent="0.25">
      <c r="A246" s="89" t="s">
        <v>258</v>
      </c>
      <c r="B246" s="89"/>
      <c r="C246" s="89"/>
      <c r="D246" s="89"/>
      <c r="E246" s="89"/>
      <c r="F246" s="89"/>
    </row>
    <row r="247" spans="1:6" x14ac:dyDescent="0.25">
      <c r="A247" s="1" t="s">
        <v>1</v>
      </c>
      <c r="B247" s="1" t="s">
        <v>259</v>
      </c>
      <c r="C247" s="1" t="s">
        <v>260</v>
      </c>
      <c r="D247" s="51" t="s">
        <v>171</v>
      </c>
      <c r="E247" s="51" t="s">
        <v>172</v>
      </c>
    </row>
    <row r="248" spans="1:6" x14ac:dyDescent="0.25">
      <c r="A248" s="1" t="s">
        <v>261</v>
      </c>
      <c r="B248" s="51"/>
      <c r="C248" s="51">
        <v>59000000</v>
      </c>
      <c r="D248" s="1"/>
      <c r="E248" s="1"/>
    </row>
    <row r="249" spans="1:6" x14ac:dyDescent="0.25">
      <c r="A249" s="1" t="s">
        <v>262</v>
      </c>
      <c r="B249" s="51"/>
      <c r="C249" s="51">
        <f>C248/1.2</f>
        <v>49166666.666666672</v>
      </c>
      <c r="D249" s="1"/>
      <c r="E249" s="1"/>
    </row>
    <row r="250" spans="1:6" x14ac:dyDescent="0.25">
      <c r="A250" s="1" t="s">
        <v>263</v>
      </c>
      <c r="B250" s="51">
        <v>2360000</v>
      </c>
      <c r="C250" s="51">
        <f>B250*(1-15%)</f>
        <v>2006000</v>
      </c>
      <c r="D250" s="118">
        <f>C250-B250</f>
        <v>-354000</v>
      </c>
      <c r="E250" s="105">
        <f>D250/B250</f>
        <v>-0.15</v>
      </c>
    </row>
    <row r="251" spans="1:6" x14ac:dyDescent="0.25">
      <c r="A251" s="1" t="s">
        <v>264</v>
      </c>
      <c r="B251" s="51"/>
      <c r="C251" s="51">
        <f>(B250+C250)/2</f>
        <v>2183000</v>
      </c>
      <c r="D251" s="1"/>
      <c r="E251" s="1"/>
    </row>
    <row r="252" spans="1:6" ht="26.25" x14ac:dyDescent="0.25">
      <c r="A252" s="25" t="s">
        <v>226</v>
      </c>
      <c r="B252" s="108"/>
      <c r="C252" s="108">
        <f>365*C251/C249</f>
        <v>16.206</v>
      </c>
      <c r="D252" s="108"/>
      <c r="E252" s="76" t="s">
        <v>228</v>
      </c>
    </row>
    <row r="253" spans="1:6" x14ac:dyDescent="0.25">
      <c r="A253" s="1"/>
      <c r="B253" s="51"/>
      <c r="C253" s="51"/>
      <c r="D253" s="1"/>
      <c r="E253" s="1"/>
    </row>
    <row r="255" spans="1:6" ht="43.5" customHeight="1" x14ac:dyDescent="0.25">
      <c r="A255" s="91" t="s">
        <v>265</v>
      </c>
      <c r="B255" s="91"/>
      <c r="C255" s="91"/>
      <c r="D255" s="91"/>
      <c r="E255" s="91"/>
      <c r="F255" s="91"/>
    </row>
    <row r="256" spans="1:6" x14ac:dyDescent="0.25">
      <c r="A256" s="119" t="s">
        <v>266</v>
      </c>
      <c r="B256" s="32">
        <v>44196</v>
      </c>
      <c r="C256" s="32">
        <v>44561</v>
      </c>
      <c r="D256" s="1" t="s">
        <v>274</v>
      </c>
    </row>
    <row r="257" spans="1:6" x14ac:dyDescent="0.25">
      <c r="A257" s="119" t="s">
        <v>267</v>
      </c>
      <c r="B257" s="120">
        <v>1550</v>
      </c>
      <c r="C257" s="120"/>
      <c r="D257" s="1"/>
    </row>
    <row r="258" spans="1:6" x14ac:dyDescent="0.25">
      <c r="A258" s="119" t="s">
        <v>268</v>
      </c>
      <c r="B258" s="119">
        <v>11000</v>
      </c>
      <c r="C258" s="121">
        <v>11900</v>
      </c>
      <c r="D258" s="1"/>
    </row>
    <row r="259" spans="1:6" ht="21.75" customHeight="1" x14ac:dyDescent="0.25">
      <c r="A259" s="119" t="s">
        <v>269</v>
      </c>
      <c r="B259" s="119">
        <v>1300</v>
      </c>
      <c r="C259" s="119">
        <v>1450</v>
      </c>
      <c r="D259" s="1"/>
    </row>
    <row r="260" spans="1:6" x14ac:dyDescent="0.25">
      <c r="A260" s="119" t="s">
        <v>270</v>
      </c>
      <c r="B260" s="1"/>
      <c r="C260" s="1">
        <f>(B258+C258)/2</f>
        <v>11450</v>
      </c>
      <c r="D260" s="1"/>
    </row>
    <row r="261" spans="1:6" ht="25.5" x14ac:dyDescent="0.25">
      <c r="A261" s="119" t="s">
        <v>271</v>
      </c>
      <c r="B261" s="1"/>
      <c r="C261" s="1">
        <f>(B258+(C258-C259+B259))/2</f>
        <v>11375</v>
      </c>
      <c r="D261" s="1"/>
    </row>
    <row r="262" spans="1:6" ht="30" x14ac:dyDescent="0.25">
      <c r="A262" s="4" t="s">
        <v>272</v>
      </c>
      <c r="B262" s="122">
        <v>0.13059999999999999</v>
      </c>
      <c r="C262" s="86">
        <f>B257/C260</f>
        <v>0.13537117903930132</v>
      </c>
      <c r="D262" s="122">
        <f>C262-B262</f>
        <v>4.7711790393013265E-3</v>
      </c>
    </row>
    <row r="263" spans="1:6" ht="34.5" customHeight="1" x14ac:dyDescent="0.25">
      <c r="A263" s="4" t="s">
        <v>273</v>
      </c>
      <c r="B263" s="122">
        <v>0.13059999999999999</v>
      </c>
      <c r="C263" s="86">
        <f>B257/C261</f>
        <v>0.13626373626373625</v>
      </c>
      <c r="D263" s="122">
        <f>C263-B263</f>
        <v>5.6637362637362576E-3</v>
      </c>
    </row>
    <row r="265" spans="1:6" ht="32.25" customHeight="1" x14ac:dyDescent="0.25">
      <c r="A265" s="91" t="s">
        <v>275</v>
      </c>
      <c r="B265" s="91"/>
      <c r="C265" s="91"/>
      <c r="D265" s="91"/>
      <c r="E265" s="91"/>
      <c r="F265" s="91"/>
    </row>
    <row r="266" spans="1:6" x14ac:dyDescent="0.25">
      <c r="A266" s="63" t="s">
        <v>276</v>
      </c>
      <c r="B266" s="96" t="s">
        <v>218</v>
      </c>
      <c r="C266" s="96"/>
      <c r="D266" s="51" t="s">
        <v>171</v>
      </c>
      <c r="E266" s="51" t="s">
        <v>172</v>
      </c>
    </row>
    <row r="267" spans="1:6" x14ac:dyDescent="0.25">
      <c r="A267" s="63" t="s">
        <v>278</v>
      </c>
      <c r="B267" s="48">
        <v>12000</v>
      </c>
      <c r="C267" s="48">
        <v>11800</v>
      </c>
      <c r="D267" s="51"/>
      <c r="E267" s="1"/>
    </row>
    <row r="268" spans="1:6" x14ac:dyDescent="0.25">
      <c r="A268" s="63" t="s">
        <v>277</v>
      </c>
      <c r="B268" s="48">
        <v>8500</v>
      </c>
      <c r="C268" s="48">
        <v>10800</v>
      </c>
      <c r="D268" s="51"/>
      <c r="E268" s="1"/>
    </row>
    <row r="269" spans="1:6" x14ac:dyDescent="0.25">
      <c r="A269" s="119" t="s">
        <v>279</v>
      </c>
      <c r="B269" s="48">
        <v>5900</v>
      </c>
      <c r="C269" s="48">
        <v>6100</v>
      </c>
      <c r="D269" s="51"/>
      <c r="E269" s="1"/>
    </row>
    <row r="270" spans="1:6" x14ac:dyDescent="0.25">
      <c r="A270" s="1" t="s">
        <v>280</v>
      </c>
      <c r="B270" s="51">
        <f>B268-B269</f>
        <v>2600</v>
      </c>
      <c r="C270" s="51">
        <f>C268-C269</f>
        <v>4700</v>
      </c>
      <c r="D270" s="51"/>
      <c r="E270" s="1"/>
    </row>
    <row r="271" spans="1:6" x14ac:dyDescent="0.25">
      <c r="A271" s="1" t="s">
        <v>281</v>
      </c>
      <c r="B271" s="51">
        <f>B267-B269</f>
        <v>6100</v>
      </c>
      <c r="C271" s="51">
        <f>C267-C269</f>
        <v>5700</v>
      </c>
      <c r="D271" s="51"/>
      <c r="E271" s="1"/>
    </row>
    <row r="272" spans="1:6" x14ac:dyDescent="0.25">
      <c r="A272" s="1" t="s">
        <v>282</v>
      </c>
      <c r="B272" s="51">
        <f>B271-B270</f>
        <v>3500</v>
      </c>
      <c r="C272" s="51">
        <f>C271-C270</f>
        <v>1000</v>
      </c>
      <c r="D272" s="51"/>
      <c r="E272" s="1"/>
    </row>
    <row r="273" spans="1:6" x14ac:dyDescent="0.25">
      <c r="A273" s="1" t="s">
        <v>207</v>
      </c>
      <c r="B273" s="117">
        <f>B272/B267</f>
        <v>0.29166666666666669</v>
      </c>
      <c r="C273" s="117">
        <f>C272/C267</f>
        <v>8.4745762711864403E-2</v>
      </c>
      <c r="D273" s="51"/>
      <c r="E273" s="1"/>
    </row>
    <row r="274" spans="1:6" ht="25.5" x14ac:dyDescent="0.25">
      <c r="A274" s="35" t="s">
        <v>284</v>
      </c>
      <c r="B274" s="123">
        <f>B267*B270/B271</f>
        <v>5114.7540983606559</v>
      </c>
      <c r="C274" s="123">
        <f>C267*C270/C271</f>
        <v>9729.8245614035095</v>
      </c>
      <c r="D274" s="51"/>
      <c r="E274" s="1"/>
    </row>
    <row r="275" spans="1:6" ht="25.5" x14ac:dyDescent="0.25">
      <c r="A275" s="35" t="s">
        <v>283</v>
      </c>
      <c r="B275" s="123">
        <f>B267-B274</f>
        <v>6885.2459016393441</v>
      </c>
      <c r="C275" s="123">
        <f>C267-C274</f>
        <v>2070.1754385964905</v>
      </c>
      <c r="D275" s="51"/>
      <c r="E275" s="1"/>
    </row>
    <row r="276" spans="1:6" ht="25.5" x14ac:dyDescent="0.25">
      <c r="A276" s="35" t="s">
        <v>285</v>
      </c>
      <c r="B276" s="124">
        <f>B275/B267</f>
        <v>0.57377049180327866</v>
      </c>
      <c r="C276" s="124">
        <f>C275/C267</f>
        <v>0.175438596491228</v>
      </c>
      <c r="D276" s="55"/>
      <c r="E276" s="1"/>
    </row>
    <row r="277" spans="1:6" ht="25.5" x14ac:dyDescent="0.25">
      <c r="A277" s="35" t="s">
        <v>286</v>
      </c>
      <c r="B277" s="60">
        <f>B271/B272</f>
        <v>1.7428571428571429</v>
      </c>
      <c r="C277" s="125">
        <f>C271/C272</f>
        <v>5.7</v>
      </c>
      <c r="D277" s="51"/>
    </row>
    <row r="278" spans="1:6" ht="25.5" x14ac:dyDescent="0.25">
      <c r="A278" s="35" t="s">
        <v>287</v>
      </c>
      <c r="B278" s="60">
        <f>B267/B272</f>
        <v>3.4285714285714284</v>
      </c>
      <c r="C278" s="125">
        <f>C267/C272</f>
        <v>11.8</v>
      </c>
      <c r="D278" s="51"/>
    </row>
    <row r="279" spans="1:6" x14ac:dyDescent="0.25">
      <c r="A279" s="1"/>
      <c r="B279" s="51"/>
      <c r="C279" s="51"/>
      <c r="D279" s="49"/>
    </row>
    <row r="280" spans="1:6" ht="25.5" x14ac:dyDescent="0.25">
      <c r="A280" s="35" t="s">
        <v>288</v>
      </c>
      <c r="B280" s="51"/>
      <c r="C280" s="51"/>
      <c r="D280" s="49"/>
    </row>
    <row r="281" spans="1:6" x14ac:dyDescent="0.25">
      <c r="A281" s="1" t="s">
        <v>290</v>
      </c>
      <c r="B281" s="51"/>
      <c r="C281" s="51"/>
      <c r="D281" s="49"/>
    </row>
    <row r="282" spans="1:6" x14ac:dyDescent="0.25">
      <c r="A282" s="35" t="s">
        <v>291</v>
      </c>
      <c r="B282" s="86">
        <f>B277*15%</f>
        <v>0.2614285714285714</v>
      </c>
      <c r="C282" s="86">
        <f>C277*15%</f>
        <v>0.85499999999999998</v>
      </c>
      <c r="D282" s="49"/>
    </row>
    <row r="283" spans="1:6" x14ac:dyDescent="0.25">
      <c r="A283" s="35" t="s">
        <v>292</v>
      </c>
      <c r="B283" s="86">
        <f>B277*(-15%)</f>
        <v>-0.2614285714285714</v>
      </c>
      <c r="C283" s="86">
        <f>C277*(-15%)</f>
        <v>-0.85499999999999998</v>
      </c>
      <c r="D283" s="49"/>
    </row>
    <row r="284" spans="1:6" x14ac:dyDescent="0.25">
      <c r="A284" s="1" t="s">
        <v>289</v>
      </c>
      <c r="B284" s="51"/>
      <c r="C284" s="51"/>
      <c r="D284" s="49"/>
    </row>
    <row r="285" spans="1:6" x14ac:dyDescent="0.25">
      <c r="A285" s="35" t="s">
        <v>293</v>
      </c>
      <c r="B285" s="86">
        <f>B278*15%</f>
        <v>0.51428571428571423</v>
      </c>
      <c r="C285" s="86">
        <f>C278*15%</f>
        <v>1.77</v>
      </c>
      <c r="D285" s="49"/>
    </row>
    <row r="286" spans="1:6" x14ac:dyDescent="0.25">
      <c r="A286" s="35" t="s">
        <v>294</v>
      </c>
      <c r="B286" s="86">
        <f>-B285</f>
        <v>-0.51428571428571423</v>
      </c>
      <c r="C286" s="86">
        <f>-C285</f>
        <v>-1.77</v>
      </c>
      <c r="D286" s="49"/>
    </row>
    <row r="287" spans="1:6" x14ac:dyDescent="0.25">
      <c r="B287" s="49"/>
      <c r="C287" s="49"/>
      <c r="D287" s="49"/>
    </row>
    <row r="288" spans="1:6" ht="24" customHeight="1" x14ac:dyDescent="0.25">
      <c r="A288" s="127" t="s">
        <v>295</v>
      </c>
      <c r="B288" s="128"/>
      <c r="C288" s="128"/>
      <c r="D288" s="128"/>
      <c r="E288" s="128"/>
      <c r="F288" s="128"/>
    </row>
    <row r="289" spans="1:7" ht="25.5" x14ac:dyDescent="0.25">
      <c r="A289" s="63" t="s">
        <v>296</v>
      </c>
      <c r="B289" s="64" t="s">
        <v>297</v>
      </c>
      <c r="C289" s="64" t="s">
        <v>298</v>
      </c>
      <c r="D289" s="49"/>
    </row>
    <row r="290" spans="1:7" x14ac:dyDescent="0.25">
      <c r="A290" s="63" t="s">
        <v>299</v>
      </c>
      <c r="B290" s="103">
        <v>73000</v>
      </c>
      <c r="C290" s="103">
        <v>65000</v>
      </c>
      <c r="D290" s="49"/>
    </row>
    <row r="291" spans="1:7" ht="25.5" x14ac:dyDescent="0.25">
      <c r="A291" s="63" t="s">
        <v>300</v>
      </c>
      <c r="B291" s="103">
        <v>12500</v>
      </c>
      <c r="C291" s="103">
        <v>11600</v>
      </c>
      <c r="D291" s="49"/>
    </row>
    <row r="292" spans="1:7" x14ac:dyDescent="0.25">
      <c r="A292" s="77" t="s">
        <v>301</v>
      </c>
      <c r="B292" s="78">
        <v>3900</v>
      </c>
      <c r="C292" s="78">
        <v>3800</v>
      </c>
    </row>
    <row r="293" spans="1:7" x14ac:dyDescent="0.25">
      <c r="A293" s="57" t="s">
        <v>303</v>
      </c>
      <c r="B293" s="130">
        <f>B291-B292</f>
        <v>8600</v>
      </c>
      <c r="C293" s="130">
        <f>C291-C292</f>
        <v>7800</v>
      </c>
    </row>
    <row r="294" spans="1:7" ht="25.5" x14ac:dyDescent="0.25">
      <c r="A294" s="63" t="s">
        <v>302</v>
      </c>
      <c r="B294" s="103">
        <v>24500</v>
      </c>
      <c r="C294" s="64">
        <v>20400</v>
      </c>
    </row>
    <row r="295" spans="1:7" x14ac:dyDescent="0.25">
      <c r="A295" s="77" t="s">
        <v>301</v>
      </c>
      <c r="B295" s="129">
        <f>B294-B296</f>
        <v>5200</v>
      </c>
      <c r="C295" s="129">
        <f>C294-C296</f>
        <v>2800</v>
      </c>
    </row>
    <row r="296" spans="1:7" x14ac:dyDescent="0.25">
      <c r="A296" s="57" t="s">
        <v>303</v>
      </c>
      <c r="B296" s="130">
        <v>19300</v>
      </c>
      <c r="C296" s="130">
        <v>17600</v>
      </c>
    </row>
    <row r="297" spans="1:7" ht="25.5" x14ac:dyDescent="0.25">
      <c r="A297" s="77" t="s">
        <v>304</v>
      </c>
      <c r="B297" s="131">
        <f>B292+B295</f>
        <v>9100</v>
      </c>
      <c r="C297" s="131">
        <f>C292+C295</f>
        <v>6600</v>
      </c>
      <c r="G297" t="s">
        <v>308</v>
      </c>
    </row>
    <row r="298" spans="1:7" ht="25.5" x14ac:dyDescent="0.25">
      <c r="A298" s="57" t="s">
        <v>305</v>
      </c>
      <c r="B298" s="132">
        <f>B293+B296</f>
        <v>27900</v>
      </c>
      <c r="C298" s="132">
        <f>C293+C296</f>
        <v>25400</v>
      </c>
      <c r="D298" t="s">
        <v>306</v>
      </c>
      <c r="E298" s="135">
        <v>0.2</v>
      </c>
      <c r="F298">
        <v>1000000</v>
      </c>
      <c r="G298">
        <f>F298*E298</f>
        <v>200000</v>
      </c>
    </row>
    <row r="299" spans="1:7" x14ac:dyDescent="0.25">
      <c r="A299" s="1" t="s">
        <v>281</v>
      </c>
      <c r="B299" s="104">
        <f>B290-B298</f>
        <v>45100</v>
      </c>
      <c r="C299" s="104">
        <f>C290-C298</f>
        <v>39600</v>
      </c>
      <c r="D299" t="s">
        <v>307</v>
      </c>
      <c r="E299" s="135">
        <v>0.15</v>
      </c>
      <c r="F299">
        <v>100000000</v>
      </c>
      <c r="G299">
        <f>F299*(E298-E299)</f>
        <v>5000000.0000000019</v>
      </c>
    </row>
    <row r="300" spans="1:7" x14ac:dyDescent="0.25">
      <c r="A300" s="1" t="s">
        <v>282</v>
      </c>
      <c r="B300" s="104">
        <f>B299-B297</f>
        <v>36000</v>
      </c>
      <c r="C300" s="104">
        <f>C299-C297</f>
        <v>33000</v>
      </c>
    </row>
    <row r="301" spans="1:7" x14ac:dyDescent="0.25">
      <c r="A301" s="1" t="s">
        <v>207</v>
      </c>
      <c r="B301" s="17">
        <f>B300/B290</f>
        <v>0.49315068493150682</v>
      </c>
      <c r="C301" s="17">
        <f>C300/C290</f>
        <v>0.50769230769230766</v>
      </c>
    </row>
    <row r="302" spans="1:7" ht="25.5" x14ac:dyDescent="0.25">
      <c r="A302" s="35" t="s">
        <v>284</v>
      </c>
      <c r="B302" s="27">
        <f>B290*B297/B299</f>
        <v>14729.490022172949</v>
      </c>
      <c r="C302" s="27">
        <f>C290*C297/C299</f>
        <v>10833.333333333334</v>
      </c>
    </row>
    <row r="303" spans="1:7" ht="25.5" x14ac:dyDescent="0.25">
      <c r="A303" s="35" t="s">
        <v>283</v>
      </c>
      <c r="B303" s="134">
        <f>B290-B302</f>
        <v>58270.509977827052</v>
      </c>
      <c r="C303" s="133">
        <f>C290-C302</f>
        <v>54166.666666666664</v>
      </c>
    </row>
    <row r="304" spans="1:7" ht="25.5" x14ac:dyDescent="0.25">
      <c r="A304" s="35" t="s">
        <v>285</v>
      </c>
      <c r="B304" s="17">
        <f>B303/B290</f>
        <v>0.79822616407982261</v>
      </c>
      <c r="C304" s="17">
        <f>C303/C290</f>
        <v>0.83333333333333326</v>
      </c>
    </row>
    <row r="305" spans="1:7" ht="25.5" x14ac:dyDescent="0.25">
      <c r="A305" s="35" t="s">
        <v>286</v>
      </c>
      <c r="B305" s="26">
        <f>B299/B300</f>
        <v>1.2527777777777778</v>
      </c>
      <c r="C305" s="26">
        <f>C299/C300</f>
        <v>1.2</v>
      </c>
    </row>
    <row r="306" spans="1:7" ht="25.5" x14ac:dyDescent="0.25">
      <c r="A306" s="35" t="s">
        <v>287</v>
      </c>
      <c r="B306" s="26">
        <f>B290/B300</f>
        <v>2.0277777777777777</v>
      </c>
      <c r="C306" s="26">
        <f>C290/C300</f>
        <v>1.9696969696969697</v>
      </c>
    </row>
    <row r="308" spans="1:7" ht="30.75" customHeight="1" thickBot="1" x14ac:dyDescent="0.3">
      <c r="A308" s="126" t="s">
        <v>309</v>
      </c>
      <c r="B308" s="91"/>
      <c r="C308" s="91"/>
      <c r="D308" s="91"/>
      <c r="E308" s="91"/>
      <c r="F308" s="91"/>
    </row>
    <row r="309" spans="1:7" x14ac:dyDescent="0.25">
      <c r="A309" s="146" t="s">
        <v>276</v>
      </c>
      <c r="B309" s="148" t="s">
        <v>310</v>
      </c>
      <c r="C309" s="136">
        <v>0.5</v>
      </c>
      <c r="D309" s="136">
        <v>0.5</v>
      </c>
    </row>
    <row r="310" spans="1:7" ht="15.75" thickBot="1" x14ac:dyDescent="0.3">
      <c r="A310" s="147"/>
      <c r="B310" s="149"/>
      <c r="C310" s="137" t="s">
        <v>311</v>
      </c>
      <c r="D310" s="137" t="s">
        <v>312</v>
      </c>
    </row>
    <row r="311" spans="1:7" ht="15.75" thickBot="1" x14ac:dyDescent="0.3">
      <c r="A311" s="138" t="s">
        <v>313</v>
      </c>
      <c r="B311" s="139">
        <v>90000</v>
      </c>
      <c r="C311" s="139">
        <f>C312+C313</f>
        <v>90000</v>
      </c>
      <c r="D311" s="139">
        <f>D312+D313</f>
        <v>90000</v>
      </c>
    </row>
    <row r="312" spans="1:7" ht="15.75" thickBot="1" x14ac:dyDescent="0.3">
      <c r="A312" s="140" t="s">
        <v>321</v>
      </c>
      <c r="B312" s="139">
        <v>90000</v>
      </c>
      <c r="C312" s="139">
        <v>60000</v>
      </c>
      <c r="D312" s="139">
        <v>60000</v>
      </c>
    </row>
    <row r="313" spans="1:7" ht="15.75" thickBot="1" x14ac:dyDescent="0.3">
      <c r="A313" s="140" t="s">
        <v>320</v>
      </c>
      <c r="B313" s="137" t="s">
        <v>314</v>
      </c>
      <c r="C313" s="137">
        <v>30000</v>
      </c>
      <c r="D313" s="137">
        <v>30000</v>
      </c>
    </row>
    <row r="314" spans="1:7" ht="15.75" thickBot="1" x14ac:dyDescent="0.3">
      <c r="A314" s="143" t="s">
        <v>206</v>
      </c>
      <c r="B314" s="141">
        <v>20000</v>
      </c>
      <c r="C314" s="141">
        <f>B314</f>
        <v>20000</v>
      </c>
      <c r="D314" s="150">
        <f>C314</f>
        <v>20000</v>
      </c>
      <c r="E314" s="1" t="s">
        <v>326</v>
      </c>
      <c r="F314" s="152">
        <v>0.2</v>
      </c>
      <c r="G314" s="1"/>
    </row>
    <row r="315" spans="1:7" ht="39" thickBot="1" x14ac:dyDescent="0.3">
      <c r="A315" s="143" t="s">
        <v>315</v>
      </c>
      <c r="B315" s="144">
        <f>B316+B317</f>
        <v>0</v>
      </c>
      <c r="C315" s="144">
        <f t="shared" ref="C315:D315" si="32">C316+C317</f>
        <v>6000</v>
      </c>
      <c r="D315" s="144">
        <f t="shared" si="32"/>
        <v>6000</v>
      </c>
      <c r="E315" s="1" t="s">
        <v>325</v>
      </c>
      <c r="F315" s="122">
        <v>7.4999999999999997E-2</v>
      </c>
      <c r="G315" s="1"/>
    </row>
    <row r="316" spans="1:7" ht="26.25" thickBot="1" x14ac:dyDescent="0.3">
      <c r="A316" s="140" t="s">
        <v>322</v>
      </c>
      <c r="B316" s="142"/>
      <c r="C316" s="144">
        <f>C313*F314</f>
        <v>6000</v>
      </c>
      <c r="D316" s="151">
        <f>D313*F316</f>
        <v>4050.0000000000005</v>
      </c>
      <c r="E316" s="1" t="s">
        <v>324</v>
      </c>
      <c r="F316" s="17">
        <f>F315*1.8</f>
        <v>0.13500000000000001</v>
      </c>
      <c r="G316" s="1" t="s">
        <v>328</v>
      </c>
    </row>
    <row r="317" spans="1:7" ht="26.25" thickBot="1" x14ac:dyDescent="0.3">
      <c r="A317" s="140" t="s">
        <v>323</v>
      </c>
      <c r="B317" s="142"/>
      <c r="C317" s="142"/>
      <c r="D317" s="151">
        <f>D313*F317</f>
        <v>1950</v>
      </c>
      <c r="E317" s="1" t="s">
        <v>327</v>
      </c>
      <c r="F317" s="18">
        <f>F314-F316</f>
        <v>6.5000000000000002E-2</v>
      </c>
      <c r="G317" s="1" t="s">
        <v>328</v>
      </c>
    </row>
    <row r="318" spans="1:7" ht="26.25" thickBot="1" x14ac:dyDescent="0.3">
      <c r="A318" s="138" t="s">
        <v>190</v>
      </c>
      <c r="B318" s="141">
        <f>B314-B315</f>
        <v>20000</v>
      </c>
      <c r="C318" s="141">
        <f t="shared" ref="C318:D318" si="33">C314-C315</f>
        <v>14000</v>
      </c>
      <c r="D318" s="141">
        <f t="shared" si="33"/>
        <v>14000</v>
      </c>
    </row>
    <row r="319" spans="1:7" ht="26.25" thickBot="1" x14ac:dyDescent="0.3">
      <c r="A319" s="138" t="s">
        <v>191</v>
      </c>
      <c r="B319" s="141">
        <f>B318+B317</f>
        <v>20000</v>
      </c>
      <c r="C319" s="141">
        <f t="shared" ref="C319:D319" si="34">C318+C317</f>
        <v>14000</v>
      </c>
      <c r="D319" s="141">
        <f>D318+D317</f>
        <v>15950</v>
      </c>
    </row>
    <row r="320" spans="1:7" ht="15.75" thickBot="1" x14ac:dyDescent="0.3">
      <c r="A320" s="138" t="s">
        <v>193</v>
      </c>
      <c r="B320" s="144">
        <f>B319*0.2</f>
        <v>4000</v>
      </c>
      <c r="C320" s="144">
        <f t="shared" ref="C320:D320" si="35">C319*0.2</f>
        <v>2800</v>
      </c>
      <c r="D320" s="144">
        <f t="shared" si="35"/>
        <v>3190</v>
      </c>
    </row>
    <row r="321" spans="1:7" ht="15.75" thickBot="1" x14ac:dyDescent="0.3">
      <c r="A321" s="138" t="s">
        <v>194</v>
      </c>
      <c r="B321" s="141">
        <f>B318-B320</f>
        <v>16000</v>
      </c>
      <c r="C321" s="141">
        <f t="shared" ref="C321:D321" si="36">C318-C320</f>
        <v>11200</v>
      </c>
      <c r="D321" s="141">
        <f t="shared" si="36"/>
        <v>10810</v>
      </c>
    </row>
    <row r="322" spans="1:7" ht="64.5" thickBot="1" x14ac:dyDescent="0.3">
      <c r="A322" s="138" t="s">
        <v>316</v>
      </c>
      <c r="B322" s="154">
        <f>B321/B312</f>
        <v>0.17777777777777778</v>
      </c>
      <c r="C322" s="154">
        <f t="shared" ref="C322:D322" si="37">C321/C312</f>
        <v>0.18666666666666668</v>
      </c>
      <c r="D322" s="154">
        <f t="shared" si="37"/>
        <v>0.18016666666666667</v>
      </c>
    </row>
    <row r="323" spans="1:7" ht="26.25" thickBot="1" x14ac:dyDescent="0.3">
      <c r="A323" s="138" t="s">
        <v>317</v>
      </c>
      <c r="B323" s="142"/>
      <c r="C323" s="155">
        <f>C322-B322</f>
        <v>8.8888888888888906E-3</v>
      </c>
      <c r="D323" s="155">
        <f>D322-B322</f>
        <v>2.3888888888888848E-3</v>
      </c>
    </row>
    <row r="324" spans="1:7" ht="33" customHeight="1" thickBot="1" x14ac:dyDescent="0.3">
      <c r="A324" s="145" t="s">
        <v>318</v>
      </c>
      <c r="B324" s="144"/>
      <c r="C324" s="156">
        <f>(1-20%)*(C325-F314)*(C313/C312)</f>
        <v>8.8888888888888802E-3</v>
      </c>
      <c r="D324" s="155">
        <f>0.8*(D325-F316)*(D313/D312)-F317*(D313/D312)</f>
        <v>2.3888888888888779E-3</v>
      </c>
    </row>
    <row r="325" spans="1:7" ht="39" thickBot="1" x14ac:dyDescent="0.3">
      <c r="A325" s="138" t="s">
        <v>319</v>
      </c>
      <c r="B325" s="153">
        <f>B314/B311</f>
        <v>0.22222222222222221</v>
      </c>
      <c r="C325" s="153">
        <f t="shared" ref="C325:D325" si="38">C314/C311</f>
        <v>0.22222222222222221</v>
      </c>
      <c r="D325" s="153">
        <f t="shared" si="38"/>
        <v>0.22222222222222221</v>
      </c>
    </row>
    <row r="326" spans="1:7" ht="15.75" thickBot="1" x14ac:dyDescent="0.3"/>
    <row r="327" spans="1:7" x14ac:dyDescent="0.25">
      <c r="A327" s="146" t="s">
        <v>276</v>
      </c>
      <c r="B327" s="148" t="s">
        <v>310</v>
      </c>
      <c r="C327" s="136">
        <v>0.5</v>
      </c>
      <c r="D327" s="136">
        <v>0.5</v>
      </c>
    </row>
    <row r="328" spans="1:7" ht="15.75" thickBot="1" x14ac:dyDescent="0.3">
      <c r="A328" s="147"/>
      <c r="B328" s="149"/>
      <c r="C328" s="137" t="s">
        <v>311</v>
      </c>
      <c r="D328" s="137" t="s">
        <v>312</v>
      </c>
    </row>
    <row r="329" spans="1:7" ht="15.75" thickBot="1" x14ac:dyDescent="0.3">
      <c r="A329" s="138" t="s">
        <v>313</v>
      </c>
      <c r="B329" s="139">
        <v>90000</v>
      </c>
      <c r="C329" s="139">
        <f>C330+C331</f>
        <v>90000</v>
      </c>
      <c r="D329" s="139">
        <f>D330+D331</f>
        <v>90000</v>
      </c>
    </row>
    <row r="330" spans="1:7" ht="15.75" thickBot="1" x14ac:dyDescent="0.3">
      <c r="A330" s="140" t="s">
        <v>321</v>
      </c>
      <c r="B330" s="139">
        <v>90000</v>
      </c>
      <c r="C330" s="139">
        <v>60000</v>
      </c>
      <c r="D330" s="139">
        <v>60000</v>
      </c>
    </row>
    <row r="331" spans="1:7" ht="15.75" thickBot="1" x14ac:dyDescent="0.3">
      <c r="A331" s="140" t="s">
        <v>320</v>
      </c>
      <c r="B331" s="137" t="s">
        <v>314</v>
      </c>
      <c r="C331" s="137">
        <v>30000</v>
      </c>
      <c r="D331" s="137">
        <v>30000</v>
      </c>
    </row>
    <row r="332" spans="1:7" ht="15.75" thickBot="1" x14ac:dyDescent="0.3">
      <c r="A332" s="143" t="s">
        <v>206</v>
      </c>
      <c r="B332" s="141">
        <v>16000</v>
      </c>
      <c r="C332" s="141">
        <f>B332</f>
        <v>16000</v>
      </c>
      <c r="D332" s="150">
        <f>C332</f>
        <v>16000</v>
      </c>
      <c r="E332" s="1" t="s">
        <v>326</v>
      </c>
      <c r="F332" s="152">
        <v>0.2</v>
      </c>
      <c r="G332" s="1"/>
    </row>
    <row r="333" spans="1:7" ht="39" thickBot="1" x14ac:dyDescent="0.3">
      <c r="A333" s="143" t="s">
        <v>315</v>
      </c>
      <c r="B333" s="144">
        <f>B334+B335</f>
        <v>0</v>
      </c>
      <c r="C333" s="144">
        <f t="shared" ref="C333" si="39">C334+C335</f>
        <v>6000</v>
      </c>
      <c r="D333" s="144">
        <f t="shared" ref="D333" si="40">D334+D335</f>
        <v>6000</v>
      </c>
      <c r="E333" s="1" t="s">
        <v>325</v>
      </c>
      <c r="F333" s="122">
        <v>7.4999999999999997E-2</v>
      </c>
      <c r="G333" s="1"/>
    </row>
    <row r="334" spans="1:7" ht="26.25" thickBot="1" x14ac:dyDescent="0.3">
      <c r="A334" s="140" t="s">
        <v>322</v>
      </c>
      <c r="B334" s="142"/>
      <c r="C334" s="144">
        <f>C331*F332</f>
        <v>6000</v>
      </c>
      <c r="D334" s="151">
        <f>D331*F334</f>
        <v>4050.0000000000005</v>
      </c>
      <c r="E334" s="1" t="s">
        <v>324</v>
      </c>
      <c r="F334" s="17">
        <f>F333*1.8</f>
        <v>0.13500000000000001</v>
      </c>
      <c r="G334" s="1" t="s">
        <v>328</v>
      </c>
    </row>
    <row r="335" spans="1:7" ht="26.25" thickBot="1" x14ac:dyDescent="0.3">
      <c r="A335" s="140" t="s">
        <v>323</v>
      </c>
      <c r="B335" s="142"/>
      <c r="C335" s="142"/>
      <c r="D335" s="151">
        <f>D331*F335</f>
        <v>1950</v>
      </c>
      <c r="E335" s="1" t="s">
        <v>327</v>
      </c>
      <c r="F335" s="18">
        <f>F332-F334</f>
        <v>6.5000000000000002E-2</v>
      </c>
      <c r="G335" s="1" t="s">
        <v>328</v>
      </c>
    </row>
    <row r="336" spans="1:7" ht="26.25" thickBot="1" x14ac:dyDescent="0.3">
      <c r="A336" s="138" t="s">
        <v>190</v>
      </c>
      <c r="B336" s="141">
        <f>B332-B333</f>
        <v>16000</v>
      </c>
      <c r="C336" s="141">
        <f t="shared" ref="C336:D336" si="41">C332-C333</f>
        <v>10000</v>
      </c>
      <c r="D336" s="141">
        <f t="shared" si="41"/>
        <v>10000</v>
      </c>
    </row>
    <row r="337" spans="1:4" ht="26.25" thickBot="1" x14ac:dyDescent="0.3">
      <c r="A337" s="138" t="s">
        <v>191</v>
      </c>
      <c r="B337" s="141">
        <f>B336+B335</f>
        <v>16000</v>
      </c>
      <c r="C337" s="141">
        <f t="shared" ref="C337" si="42">C336+C335</f>
        <v>10000</v>
      </c>
      <c r="D337" s="141">
        <f>D336+D335</f>
        <v>11950</v>
      </c>
    </row>
    <row r="338" spans="1:4" ht="15.75" thickBot="1" x14ac:dyDescent="0.3">
      <c r="A338" s="138" t="s">
        <v>193</v>
      </c>
      <c r="B338" s="144">
        <f>B337*0.2</f>
        <v>3200</v>
      </c>
      <c r="C338" s="144">
        <f t="shared" ref="C338" si="43">C337*0.2</f>
        <v>2000</v>
      </c>
      <c r="D338" s="144">
        <f t="shared" ref="D338" si="44">D337*0.2</f>
        <v>2390</v>
      </c>
    </row>
    <row r="339" spans="1:4" ht="15.75" thickBot="1" x14ac:dyDescent="0.3">
      <c r="A339" s="138" t="s">
        <v>194</v>
      </c>
      <c r="B339" s="141">
        <f>B336-B338</f>
        <v>12800</v>
      </c>
      <c r="C339" s="141">
        <f t="shared" ref="C339" si="45">C336-C338</f>
        <v>8000</v>
      </c>
      <c r="D339" s="141">
        <f t="shared" ref="D339" si="46">D336-D338</f>
        <v>7610</v>
      </c>
    </row>
    <row r="340" spans="1:4" ht="64.5" thickBot="1" x14ac:dyDescent="0.3">
      <c r="A340" s="138" t="s">
        <v>316</v>
      </c>
      <c r="B340" s="154">
        <f>B339/B330</f>
        <v>0.14222222222222222</v>
      </c>
      <c r="C340" s="154">
        <f t="shared" ref="C340" si="47">C339/C330</f>
        <v>0.13333333333333333</v>
      </c>
      <c r="D340" s="154">
        <f t="shared" ref="D340" si="48">D339/D330</f>
        <v>0.12683333333333333</v>
      </c>
    </row>
    <row r="341" spans="1:4" ht="26.25" thickBot="1" x14ac:dyDescent="0.3">
      <c r="A341" s="138" t="s">
        <v>317</v>
      </c>
      <c r="B341" s="142"/>
      <c r="C341" s="155">
        <f>C340-B340</f>
        <v>-8.8888888888888906E-3</v>
      </c>
      <c r="D341" s="155">
        <f>D340-B340</f>
        <v>-1.5388888888888896E-2</v>
      </c>
    </row>
    <row r="342" spans="1:4" ht="42" thickBot="1" x14ac:dyDescent="0.3">
      <c r="A342" s="145" t="s">
        <v>318</v>
      </c>
      <c r="B342" s="144"/>
      <c r="C342" s="156">
        <f>(1-20%)*(C343-F332)*(C331/C330)</f>
        <v>-8.8888888888888906E-3</v>
      </c>
      <c r="D342" s="155">
        <f>0.8*(D343-F334)*(D331/D330)-F335*(D331/D330)</f>
        <v>-1.5388888888888889E-2</v>
      </c>
    </row>
    <row r="343" spans="1:4" ht="39" thickBot="1" x14ac:dyDescent="0.3">
      <c r="A343" s="138" t="s">
        <v>319</v>
      </c>
      <c r="B343" s="153">
        <f>B332/B329</f>
        <v>0.17777777777777778</v>
      </c>
      <c r="C343" s="153">
        <f t="shared" ref="C343:D343" si="49">C332/C329</f>
        <v>0.17777777777777778</v>
      </c>
      <c r="D343" s="153">
        <f t="shared" si="49"/>
        <v>0.17777777777777778</v>
      </c>
    </row>
  </sheetData>
  <mergeCells count="40">
    <mergeCell ref="A327:A328"/>
    <mergeCell ref="B327:B328"/>
    <mergeCell ref="B266:C266"/>
    <mergeCell ref="A288:F288"/>
    <mergeCell ref="A308:F308"/>
    <mergeCell ref="A309:A310"/>
    <mergeCell ref="B309:B310"/>
    <mergeCell ref="A233:F233"/>
    <mergeCell ref="A246:F246"/>
    <mergeCell ref="A255:F255"/>
    <mergeCell ref="B257:C257"/>
    <mergeCell ref="A265:F265"/>
    <mergeCell ref="A196:F196"/>
    <mergeCell ref="A206:E206"/>
    <mergeCell ref="A219:F219"/>
    <mergeCell ref="A231:F231"/>
    <mergeCell ref="A232:F232"/>
    <mergeCell ref="A185:H185"/>
    <mergeCell ref="A186:A187"/>
    <mergeCell ref="B186:C186"/>
    <mergeCell ref="A99:J99"/>
    <mergeCell ref="A120:H120"/>
    <mergeCell ref="A121:A122"/>
    <mergeCell ref="B121:C121"/>
    <mergeCell ref="A67:I67"/>
    <mergeCell ref="A68:A69"/>
    <mergeCell ref="B68:C68"/>
    <mergeCell ref="A75:I75"/>
    <mergeCell ref="A88:I88"/>
    <mergeCell ref="A47:M47"/>
    <mergeCell ref="A48:A49"/>
    <mergeCell ref="B48:C48"/>
    <mergeCell ref="A56:A57"/>
    <mergeCell ref="B56:C56"/>
    <mergeCell ref="A173:F173"/>
    <mergeCell ref="A141:G141"/>
    <mergeCell ref="A151:G151"/>
    <mergeCell ref="A152:A153"/>
    <mergeCell ref="B152:C152"/>
    <mergeCell ref="A160:H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2023-01-14T22:21:00Z</dcterms:modified>
</cp:coreProperties>
</file>