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Default Extension="vml" ContentType="application/vnd.openxmlformats-officedocument.vmlDrawing"/>
  <Default Extension="docx" ContentType="application/vnd.openxmlformats-officedocument.wordprocessingml.document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Users/Anna/Desktop/ФЭА/"/>
    </mc:Choice>
  </mc:AlternateContent>
  <bookViews>
    <workbookView xWindow="0" yWindow="460" windowWidth="28800" windowHeight="16540" activeTab="1"/>
  </bookViews>
  <sheets>
    <sheet name="Лист1" sheetId="1" r:id="rId1"/>
    <sheet name="Лист5" sheetId="5" r:id="rId2"/>
    <sheet name="Лист4" sheetId="4" r:id="rId3"/>
    <sheet name="Лист2" sheetId="2" r:id="rId4"/>
    <sheet name="Лист3" sheetId="3" r:id="rId5"/>
  </sheets>
  <definedNames>
    <definedName name="OLE_LINK3" localSheetId="3">Лист2!$A$66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5" l="1"/>
  <c r="E74" i="5"/>
  <c r="D74" i="5"/>
  <c r="C74" i="5"/>
  <c r="C75" i="5"/>
  <c r="B75" i="5"/>
  <c r="B74" i="5"/>
  <c r="D69" i="5"/>
  <c r="E69" i="5"/>
  <c r="D70" i="5"/>
  <c r="E70" i="5"/>
  <c r="D71" i="5"/>
  <c r="E71" i="5"/>
  <c r="E68" i="5"/>
  <c r="D68" i="5"/>
  <c r="C72" i="5"/>
  <c r="C73" i="5"/>
  <c r="B73" i="5"/>
  <c r="B72" i="5"/>
  <c r="J59" i="5"/>
  <c r="J58" i="5"/>
  <c r="J57" i="5"/>
  <c r="J56" i="5"/>
  <c r="I56" i="5"/>
  <c r="F59" i="5"/>
  <c r="F58" i="5"/>
  <c r="F57" i="5"/>
  <c r="G56" i="5"/>
  <c r="F56" i="5"/>
  <c r="D60" i="5"/>
  <c r="D56" i="5"/>
  <c r="D55" i="5"/>
  <c r="C42" i="5"/>
  <c r="C43" i="5"/>
  <c r="B43" i="5"/>
  <c r="B42" i="5"/>
  <c r="D35" i="5"/>
  <c r="D34" i="5"/>
  <c r="D33" i="5"/>
  <c r="D32" i="5"/>
  <c r="D31" i="5"/>
  <c r="D19" i="5"/>
  <c r="E19" i="5"/>
  <c r="F19" i="5"/>
  <c r="G19" i="5"/>
  <c r="H19" i="5"/>
  <c r="D20" i="5"/>
  <c r="E20" i="5"/>
  <c r="F20" i="5"/>
  <c r="G20" i="5"/>
  <c r="H20" i="5"/>
  <c r="D21" i="5"/>
  <c r="E21" i="5"/>
  <c r="F21" i="5"/>
  <c r="G21" i="5"/>
  <c r="H21" i="5"/>
  <c r="D22" i="5"/>
  <c r="E22" i="5"/>
  <c r="F22" i="5"/>
  <c r="G22" i="5"/>
  <c r="H22" i="5"/>
  <c r="D23" i="5"/>
  <c r="E23" i="5"/>
  <c r="F23" i="5"/>
  <c r="G23" i="5"/>
  <c r="H23" i="5"/>
  <c r="D24" i="5"/>
  <c r="E24" i="5"/>
  <c r="F24" i="5"/>
  <c r="G24" i="5"/>
  <c r="H24" i="5"/>
  <c r="D25" i="5"/>
  <c r="E25" i="5"/>
  <c r="F25" i="5"/>
  <c r="G25" i="5"/>
  <c r="H25" i="5"/>
  <c r="H18" i="5"/>
  <c r="G18" i="5"/>
  <c r="F18" i="5"/>
  <c r="E18" i="5"/>
  <c r="D18" i="5"/>
  <c r="C25" i="5"/>
  <c r="B25" i="5"/>
  <c r="C22" i="5"/>
  <c r="B22" i="5"/>
  <c r="C24" i="5"/>
  <c r="B24" i="5"/>
  <c r="C23" i="5"/>
  <c r="B23" i="5"/>
  <c r="C19" i="5"/>
  <c r="B19" i="5"/>
  <c r="C21" i="5"/>
  <c r="B21" i="5"/>
  <c r="C20" i="5"/>
  <c r="B20" i="5"/>
  <c r="D8" i="5"/>
  <c r="D7" i="5"/>
  <c r="D6" i="5"/>
  <c r="D5" i="5"/>
  <c r="E5" i="5"/>
  <c r="D4" i="5"/>
  <c r="E4" i="5"/>
  <c r="E3" i="5"/>
  <c r="D3" i="5"/>
  <c r="B5" i="5"/>
  <c r="C5" i="5"/>
  <c r="D197" i="3"/>
  <c r="D198" i="3"/>
  <c r="D199" i="3"/>
  <c r="D200" i="3"/>
  <c r="D196" i="3"/>
  <c r="C200" i="3"/>
  <c r="C197" i="3"/>
  <c r="B200" i="3"/>
  <c r="B199" i="3"/>
  <c r="B198" i="3"/>
  <c r="B197" i="3"/>
  <c r="B196" i="3"/>
  <c r="D182" i="3"/>
  <c r="E182" i="3"/>
  <c r="D183" i="3"/>
  <c r="E183" i="3"/>
  <c r="D184" i="3"/>
  <c r="E184" i="3"/>
  <c r="C186" i="3"/>
  <c r="B186" i="3"/>
  <c r="D186" i="3"/>
  <c r="E186" i="3"/>
  <c r="C187" i="3"/>
  <c r="B187" i="3"/>
  <c r="D187" i="3"/>
  <c r="D181" i="3"/>
  <c r="E181" i="3"/>
  <c r="D172" i="3"/>
  <c r="E172" i="3"/>
  <c r="C174" i="3"/>
  <c r="C175" i="3"/>
  <c r="B174" i="3"/>
  <c r="B175" i="3"/>
  <c r="D175" i="3"/>
  <c r="C173" i="3"/>
  <c r="D173" i="3"/>
  <c r="E173" i="3"/>
  <c r="D174" i="3"/>
  <c r="E174" i="3"/>
  <c r="E175" i="3"/>
  <c r="D171" i="3"/>
  <c r="E171" i="3"/>
  <c r="C176" i="3"/>
  <c r="B176" i="3"/>
  <c r="D176" i="3"/>
  <c r="D162" i="3"/>
  <c r="E162" i="3"/>
  <c r="D163" i="3"/>
  <c r="E163" i="3"/>
  <c r="D164" i="3"/>
  <c r="E164" i="3"/>
  <c r="C165" i="3"/>
  <c r="B165" i="3"/>
  <c r="D165" i="3"/>
  <c r="E165" i="3"/>
  <c r="C166" i="3"/>
  <c r="B166" i="3"/>
  <c r="D166" i="3"/>
  <c r="E166" i="3"/>
  <c r="C167" i="3"/>
  <c r="B167" i="3"/>
  <c r="D167" i="3"/>
  <c r="D161" i="3"/>
  <c r="E161" i="3"/>
  <c r="D153" i="3"/>
  <c r="E153" i="3"/>
  <c r="D154" i="3"/>
  <c r="E154" i="3"/>
  <c r="C155" i="3"/>
  <c r="B155" i="3"/>
  <c r="D155" i="3"/>
  <c r="E155" i="3"/>
  <c r="C156" i="3"/>
  <c r="B156" i="3"/>
  <c r="D156" i="3"/>
  <c r="D152" i="3"/>
  <c r="E152" i="3"/>
  <c r="D138" i="3"/>
  <c r="D139" i="3"/>
  <c r="E139" i="3"/>
  <c r="D140" i="3"/>
  <c r="E140" i="3"/>
  <c r="D141" i="3"/>
  <c r="E141" i="3"/>
  <c r="D142" i="3"/>
  <c r="E142" i="3"/>
  <c r="C143" i="3"/>
  <c r="B143" i="3"/>
  <c r="D143" i="3"/>
  <c r="E143" i="3"/>
  <c r="C144" i="3"/>
  <c r="B144" i="3"/>
  <c r="D144" i="3"/>
  <c r="E144" i="3"/>
  <c r="C145" i="3"/>
  <c r="B145" i="3"/>
  <c r="D145" i="3"/>
  <c r="E145" i="3"/>
  <c r="C146" i="3"/>
  <c r="B146" i="3"/>
  <c r="D146" i="3"/>
  <c r="E146" i="3"/>
  <c r="C147" i="3"/>
  <c r="B147" i="3"/>
  <c r="D147" i="3"/>
  <c r="E147" i="3"/>
  <c r="D137" i="3"/>
  <c r="E137" i="3"/>
  <c r="B127" i="3"/>
  <c r="C127" i="3"/>
  <c r="C130" i="3"/>
  <c r="D130" i="3"/>
  <c r="B128" i="3"/>
  <c r="C128" i="3"/>
  <c r="C131" i="3"/>
  <c r="D131" i="3"/>
  <c r="D129" i="3"/>
  <c r="B115" i="3"/>
  <c r="B116" i="3"/>
  <c r="B114" i="3"/>
  <c r="C124" i="3"/>
  <c r="B117" i="3"/>
  <c r="B120" i="3"/>
  <c r="B118" i="3"/>
  <c r="B119" i="3"/>
  <c r="B103" i="3"/>
  <c r="B98" i="3"/>
  <c r="B99" i="3"/>
  <c r="B104" i="3"/>
  <c r="C100" i="3"/>
  <c r="B100" i="3"/>
  <c r="D100" i="3"/>
  <c r="C101" i="3"/>
  <c r="B101" i="3"/>
  <c r="D101" i="3"/>
  <c r="C98" i="3"/>
  <c r="C99" i="3"/>
  <c r="C102" i="3"/>
  <c r="B102" i="3"/>
  <c r="D102" i="3"/>
  <c r="C103" i="3"/>
  <c r="D103" i="3"/>
  <c r="C104" i="3"/>
  <c r="D104" i="3"/>
  <c r="D91" i="3"/>
  <c r="E91" i="3"/>
  <c r="D92" i="3"/>
  <c r="E92" i="3"/>
  <c r="D93" i="3"/>
  <c r="E93" i="3"/>
  <c r="D94" i="3"/>
  <c r="E94" i="3"/>
  <c r="D95" i="3"/>
  <c r="E95" i="3"/>
  <c r="D96" i="3"/>
  <c r="E96" i="3"/>
  <c r="D97" i="3"/>
  <c r="E97" i="3"/>
  <c r="D98" i="3"/>
  <c r="E98" i="3"/>
  <c r="D99" i="3"/>
  <c r="E99" i="3"/>
  <c r="D90" i="3"/>
  <c r="E90" i="3"/>
  <c r="D79" i="3"/>
  <c r="E79" i="3"/>
  <c r="D80" i="3"/>
  <c r="E80" i="3"/>
  <c r="D81" i="3"/>
  <c r="E81" i="3"/>
  <c r="C82" i="3"/>
  <c r="B82" i="3"/>
  <c r="D82" i="3"/>
  <c r="E82" i="3"/>
  <c r="C83" i="3"/>
  <c r="B83" i="3"/>
  <c r="D83" i="3"/>
  <c r="E83" i="3"/>
  <c r="C84" i="3"/>
  <c r="B84" i="3"/>
  <c r="D84" i="3"/>
  <c r="E84" i="3"/>
  <c r="C85" i="3"/>
  <c r="B85" i="3"/>
  <c r="D85" i="3"/>
  <c r="D78" i="3"/>
  <c r="E78" i="3"/>
  <c r="C414" i="1"/>
  <c r="D368" i="1"/>
  <c r="D369" i="1"/>
  <c r="C368" i="1"/>
  <c r="C369" i="1"/>
  <c r="B370" i="1"/>
  <c r="B367" i="1"/>
  <c r="D366" i="1"/>
  <c r="D365" i="1"/>
  <c r="B365" i="1"/>
  <c r="D364" i="1"/>
  <c r="F363" i="1"/>
  <c r="D362" i="1"/>
  <c r="F361" i="1"/>
  <c r="D361" i="1"/>
  <c r="C361" i="1"/>
  <c r="B324" i="1"/>
  <c r="B323" i="1"/>
  <c r="B321" i="1"/>
  <c r="B320" i="1"/>
  <c r="B319" i="1"/>
  <c r="B318" i="1"/>
  <c r="B317" i="1"/>
  <c r="B309" i="1"/>
  <c r="B307" i="1"/>
  <c r="B305" i="1"/>
  <c r="C216" i="1"/>
  <c r="B218" i="1"/>
  <c r="B217" i="1"/>
  <c r="C214" i="1"/>
  <c r="B214" i="1"/>
  <c r="C206" i="1"/>
  <c r="C205" i="1"/>
  <c r="C204" i="1"/>
  <c r="C203" i="1"/>
  <c r="C187" i="1"/>
  <c r="C186" i="1"/>
  <c r="C185" i="1"/>
  <c r="C184" i="1"/>
  <c r="C182" i="1"/>
  <c r="C180" i="1"/>
  <c r="B188" i="1"/>
  <c r="B186" i="1"/>
  <c r="B184" i="1"/>
  <c r="B183" i="1"/>
  <c r="C175" i="1"/>
  <c r="C172" i="1"/>
  <c r="B175" i="1"/>
  <c r="B174" i="1"/>
  <c r="B173" i="1"/>
  <c r="B172" i="1"/>
  <c r="B171" i="1"/>
  <c r="D135" i="1"/>
  <c r="B134" i="1"/>
  <c r="D119" i="1"/>
  <c r="C119" i="1"/>
  <c r="B122" i="1"/>
  <c r="B121" i="1"/>
  <c r="C120" i="1"/>
  <c r="B120" i="1"/>
  <c r="E117" i="1"/>
  <c r="D117" i="1"/>
  <c r="B101" i="1"/>
  <c r="B100" i="1"/>
  <c r="B102" i="1"/>
  <c r="B99" i="1"/>
  <c r="B98" i="1"/>
  <c r="B96" i="1"/>
  <c r="B82" i="1"/>
  <c r="B81" i="1"/>
  <c r="B80" i="1"/>
  <c r="B79" i="1"/>
  <c r="B78" i="1"/>
  <c r="B77" i="1"/>
  <c r="B76" i="1"/>
  <c r="B65" i="1"/>
  <c r="B64" i="1"/>
  <c r="B62" i="1"/>
  <c r="E39" i="1"/>
  <c r="E37" i="1"/>
  <c r="E36" i="1"/>
  <c r="H26" i="1"/>
  <c r="F26" i="1"/>
  <c r="F25" i="1"/>
  <c r="E25" i="1"/>
  <c r="D25" i="1"/>
  <c r="B29" i="1"/>
  <c r="B28" i="1"/>
  <c r="C25" i="1"/>
  <c r="B26" i="1"/>
  <c r="B25" i="1"/>
  <c r="B24" i="1"/>
  <c r="B19" i="1"/>
  <c r="D7" i="1"/>
  <c r="D6" i="1"/>
  <c r="C59" i="3"/>
  <c r="C61" i="3"/>
  <c r="C73" i="3"/>
  <c r="B59" i="3"/>
  <c r="B61" i="3"/>
  <c r="B73" i="3"/>
  <c r="D73" i="3"/>
  <c r="B70" i="3"/>
  <c r="B66" i="3"/>
  <c r="B69" i="3"/>
  <c r="B67" i="3"/>
  <c r="D58" i="3"/>
  <c r="E58" i="3"/>
  <c r="D59" i="3"/>
  <c r="E59" i="3"/>
  <c r="D60" i="3"/>
  <c r="E60" i="3"/>
  <c r="D61" i="3"/>
  <c r="E61" i="3"/>
  <c r="D62" i="3"/>
  <c r="D63" i="3"/>
  <c r="E63" i="3"/>
  <c r="D64" i="3"/>
  <c r="E64" i="3"/>
  <c r="D65" i="3"/>
  <c r="E65" i="3"/>
  <c r="C66" i="3"/>
  <c r="D66" i="3"/>
  <c r="E66" i="3"/>
  <c r="C69" i="3"/>
  <c r="C70" i="3"/>
  <c r="C67" i="3"/>
  <c r="D67" i="3"/>
  <c r="E67" i="3"/>
  <c r="D69" i="3"/>
  <c r="E69" i="3"/>
  <c r="D70" i="3"/>
  <c r="E70" i="3"/>
  <c r="C71" i="3"/>
  <c r="B71" i="3"/>
  <c r="D71" i="3"/>
  <c r="E71" i="3"/>
  <c r="C72" i="3"/>
  <c r="B72" i="3"/>
  <c r="D72" i="3"/>
  <c r="D57" i="3"/>
  <c r="E57" i="3"/>
  <c r="D48" i="3"/>
  <c r="K44" i="3"/>
  <c r="J44" i="3"/>
  <c r="K45" i="3"/>
  <c r="K46" i="3"/>
  <c r="K47" i="3"/>
  <c r="G44" i="3"/>
  <c r="D43" i="3"/>
  <c r="D44" i="3"/>
  <c r="F44" i="3"/>
  <c r="F45" i="3"/>
  <c r="F46" i="3"/>
  <c r="F47" i="3"/>
  <c r="D34" i="3"/>
  <c r="D35" i="3"/>
  <c r="D36" i="3"/>
  <c r="D37" i="3"/>
  <c r="D38" i="3"/>
  <c r="C24" i="3"/>
  <c r="C25" i="3"/>
  <c r="C23" i="3"/>
  <c r="B24" i="3"/>
  <c r="B25" i="3"/>
  <c r="B23" i="3"/>
  <c r="D23" i="3"/>
  <c r="E23" i="3"/>
  <c r="B27" i="3"/>
  <c r="B28" i="3"/>
  <c r="B26" i="3"/>
  <c r="B29" i="3"/>
  <c r="F23" i="3"/>
  <c r="C27" i="3"/>
  <c r="C28" i="3"/>
  <c r="C26" i="3"/>
  <c r="C29" i="3"/>
  <c r="G23" i="3"/>
  <c r="H23" i="3"/>
  <c r="D24" i="3"/>
  <c r="E24" i="3"/>
  <c r="F24" i="3"/>
  <c r="G24" i="3"/>
  <c r="H24" i="3"/>
  <c r="D25" i="3"/>
  <c r="E25" i="3"/>
  <c r="F25" i="3"/>
  <c r="G25" i="3"/>
  <c r="H25" i="3"/>
  <c r="D26" i="3"/>
  <c r="E26" i="3"/>
  <c r="F26" i="3"/>
  <c r="G26" i="3"/>
  <c r="H26" i="3"/>
  <c r="D27" i="3"/>
  <c r="E27" i="3"/>
  <c r="F27" i="3"/>
  <c r="G27" i="3"/>
  <c r="H27" i="3"/>
  <c r="D28" i="3"/>
  <c r="E28" i="3"/>
  <c r="F28" i="3"/>
  <c r="G28" i="3"/>
  <c r="H28" i="3"/>
  <c r="D29" i="3"/>
  <c r="E29" i="3"/>
  <c r="F29" i="3"/>
  <c r="G29" i="3"/>
  <c r="H29" i="3"/>
  <c r="G22" i="3"/>
  <c r="F22" i="3"/>
  <c r="H22" i="3"/>
  <c r="D22" i="3"/>
  <c r="E22" i="3"/>
  <c r="D5" i="3"/>
  <c r="D8" i="3"/>
  <c r="D4" i="3"/>
  <c r="D7" i="3"/>
  <c r="C6" i="3"/>
  <c r="B6" i="3"/>
  <c r="D9" i="3"/>
  <c r="D6" i="3"/>
  <c r="E200" i="2"/>
  <c r="F200" i="2"/>
  <c r="E201" i="2"/>
  <c r="F201" i="2"/>
  <c r="E202" i="2"/>
  <c r="F202" i="2"/>
  <c r="E203" i="2"/>
  <c r="F203" i="2"/>
  <c r="E204" i="2"/>
  <c r="F204" i="2"/>
  <c r="E205" i="2"/>
  <c r="F205" i="2"/>
  <c r="E206" i="2"/>
  <c r="F206" i="2"/>
  <c r="E207" i="2"/>
  <c r="F207" i="2"/>
  <c r="E208" i="2"/>
  <c r="E209" i="2"/>
  <c r="F199" i="2"/>
  <c r="E199" i="2"/>
  <c r="D206" i="2"/>
  <c r="D207" i="2"/>
  <c r="D208" i="2"/>
  <c r="D209" i="2"/>
  <c r="C208" i="2"/>
  <c r="C209" i="2"/>
  <c r="C207" i="2"/>
  <c r="C206" i="2"/>
  <c r="F184" i="2"/>
  <c r="F185" i="2"/>
  <c r="D192" i="2"/>
  <c r="C192" i="2"/>
  <c r="D184" i="2"/>
  <c r="D185" i="2"/>
  <c r="D183" i="2"/>
  <c r="D186" i="2"/>
  <c r="D187" i="2"/>
  <c r="D188" i="2"/>
  <c r="D189" i="2"/>
  <c r="D190" i="2"/>
  <c r="D191" i="2"/>
  <c r="B190" i="2"/>
  <c r="B189" i="2"/>
  <c r="B186" i="2"/>
  <c r="C184" i="2"/>
  <c r="D193" i="2"/>
  <c r="C193" i="2"/>
  <c r="B193" i="2"/>
  <c r="B187" i="2"/>
  <c r="B188" i="2"/>
  <c r="C183" i="2"/>
  <c r="C186" i="2"/>
  <c r="C187" i="2"/>
  <c r="C188" i="2"/>
  <c r="C189" i="2"/>
  <c r="C190" i="2"/>
  <c r="C191" i="2"/>
  <c r="D180" i="2"/>
  <c r="D181" i="2"/>
  <c r="D182" i="2"/>
  <c r="D179" i="2"/>
  <c r="B182" i="2"/>
  <c r="C171" i="2"/>
  <c r="B171" i="2"/>
  <c r="C170" i="2"/>
  <c r="B170" i="2"/>
  <c r="C169" i="2"/>
  <c r="B169" i="2"/>
  <c r="C166" i="2"/>
  <c r="C165" i="2"/>
  <c r="D160" i="2"/>
  <c r="D153" i="2"/>
  <c r="E153" i="2"/>
  <c r="F153" i="2"/>
  <c r="G153" i="2"/>
  <c r="H153" i="2"/>
  <c r="D154" i="2"/>
  <c r="E154" i="2"/>
  <c r="F154" i="2"/>
  <c r="G154" i="2"/>
  <c r="H154" i="2"/>
  <c r="D155" i="2"/>
  <c r="E155" i="2"/>
  <c r="F155" i="2"/>
  <c r="G155" i="2"/>
  <c r="H155" i="2"/>
  <c r="D157" i="2"/>
  <c r="E157" i="2"/>
  <c r="F157" i="2"/>
  <c r="G157" i="2"/>
  <c r="H157" i="2"/>
  <c r="D158" i="2"/>
  <c r="E158" i="2"/>
  <c r="F158" i="2"/>
  <c r="G158" i="2"/>
  <c r="H158" i="2"/>
  <c r="D159" i="2"/>
  <c r="E159" i="2"/>
  <c r="F159" i="2"/>
  <c r="G159" i="2"/>
  <c r="H159" i="2"/>
  <c r="H152" i="2"/>
  <c r="G152" i="2"/>
  <c r="F152" i="2"/>
  <c r="E152" i="2"/>
  <c r="D152" i="2"/>
  <c r="D139" i="2"/>
  <c r="C140" i="2"/>
  <c r="D145" i="2"/>
  <c r="C143" i="2"/>
  <c r="C144" i="2"/>
  <c r="B141" i="2"/>
  <c r="B143" i="2"/>
  <c r="B144" i="2"/>
  <c r="D144" i="2"/>
  <c r="D143" i="2"/>
  <c r="C139" i="2"/>
  <c r="C123" i="2"/>
  <c r="D123" i="2"/>
  <c r="C124" i="2"/>
  <c r="D124" i="2"/>
  <c r="C125" i="2"/>
  <c r="D125" i="2"/>
  <c r="C122" i="2"/>
  <c r="C126" i="2"/>
  <c r="D126" i="2"/>
  <c r="C128" i="2"/>
  <c r="D128" i="2"/>
  <c r="C129" i="2"/>
  <c r="D129" i="2"/>
  <c r="C130" i="2"/>
  <c r="D130" i="2"/>
  <c r="C131" i="2"/>
  <c r="D131" i="2"/>
  <c r="C132" i="2"/>
  <c r="D132" i="2"/>
  <c r="C133" i="2"/>
  <c r="B133" i="2"/>
  <c r="D133" i="2"/>
  <c r="D122" i="2"/>
  <c r="G114" i="2"/>
  <c r="F114" i="2"/>
  <c r="H114" i="2"/>
  <c r="C115" i="2"/>
  <c r="G115" i="2"/>
  <c r="B115" i="2"/>
  <c r="F115" i="2"/>
  <c r="H115" i="2"/>
  <c r="G113" i="2"/>
  <c r="F113" i="2"/>
  <c r="H113" i="2"/>
  <c r="D114" i="2"/>
  <c r="E114" i="2"/>
  <c r="D115" i="2"/>
  <c r="E115" i="2"/>
  <c r="D113" i="2"/>
  <c r="E113" i="2"/>
  <c r="B102" i="2"/>
  <c r="B101" i="2"/>
  <c r="B103" i="2"/>
  <c r="B106" i="2"/>
  <c r="B107" i="2"/>
  <c r="B104" i="2"/>
  <c r="C101" i="2"/>
  <c r="C103" i="2"/>
  <c r="C102" i="2"/>
  <c r="C106" i="2"/>
  <c r="C107" i="2"/>
  <c r="C108" i="2"/>
  <c r="B108" i="2"/>
  <c r="C104" i="2"/>
  <c r="C105" i="2"/>
  <c r="B105" i="2"/>
  <c r="B84" i="2"/>
  <c r="B85" i="2"/>
  <c r="B87" i="2"/>
  <c r="C84" i="2"/>
  <c r="C81" i="2"/>
  <c r="C85" i="2"/>
  <c r="C87" i="2"/>
  <c r="C89" i="2"/>
  <c r="B89" i="2"/>
  <c r="B71" i="2"/>
  <c r="B73" i="2"/>
  <c r="C69" i="2"/>
  <c r="C71" i="2"/>
  <c r="C73" i="2"/>
  <c r="C76" i="2"/>
  <c r="B76" i="2"/>
  <c r="B66" i="2"/>
  <c r="B61" i="2"/>
  <c r="B64" i="2"/>
  <c r="B63" i="2"/>
  <c r="D43" i="2"/>
  <c r="D44" i="2"/>
  <c r="D45" i="2"/>
  <c r="D48" i="2"/>
  <c r="D47" i="2"/>
  <c r="B46" i="2"/>
  <c r="D49" i="2"/>
  <c r="C46" i="2"/>
  <c r="D46" i="2"/>
  <c r="B33" i="2"/>
  <c r="D34" i="2"/>
  <c r="D37" i="2"/>
  <c r="C31" i="2"/>
  <c r="C32" i="2"/>
  <c r="C33" i="2"/>
  <c r="D33" i="2"/>
  <c r="D35" i="2"/>
  <c r="D38" i="2"/>
  <c r="D39" i="2"/>
  <c r="C36" i="2"/>
  <c r="B36" i="2"/>
  <c r="D36" i="2"/>
  <c r="D31" i="2"/>
  <c r="F17" i="2"/>
  <c r="B19" i="2"/>
  <c r="E23" i="2"/>
  <c r="B16" i="2"/>
  <c r="E22" i="2"/>
  <c r="B20" i="2"/>
  <c r="C15" i="2"/>
  <c r="D15" i="2"/>
  <c r="E15" i="2"/>
  <c r="C17" i="2"/>
  <c r="D17" i="2"/>
  <c r="E17" i="2"/>
  <c r="C18" i="2"/>
  <c r="E18" i="2"/>
  <c r="C14" i="2"/>
  <c r="D14" i="2"/>
  <c r="E14" i="2"/>
  <c r="E21" i="2"/>
  <c r="C20" i="2"/>
  <c r="B416" i="1"/>
  <c r="E415" i="1"/>
  <c r="C415" i="1"/>
  <c r="D415" i="1"/>
  <c r="B415" i="1"/>
  <c r="D414" i="1"/>
  <c r="B414" i="1"/>
  <c r="D413" i="1"/>
  <c r="B413" i="1"/>
  <c r="C413" i="1"/>
  <c r="C402" i="1"/>
  <c r="C403" i="1"/>
  <c r="C404" i="1"/>
  <c r="C405" i="1"/>
  <c r="C406" i="1"/>
  <c r="C407" i="1"/>
  <c r="B407" i="1"/>
  <c r="B406" i="1"/>
  <c r="B405" i="1"/>
  <c r="B404" i="1"/>
  <c r="B403" i="1"/>
  <c r="B402" i="1"/>
  <c r="C377" i="1"/>
  <c r="D377" i="1"/>
  <c r="D375" i="1"/>
  <c r="D376" i="1"/>
  <c r="D374" i="1"/>
  <c r="D388" i="1"/>
  <c r="C374" i="1"/>
  <c r="C388" i="1"/>
  <c r="B374" i="1"/>
  <c r="B388" i="1"/>
  <c r="F379" i="1"/>
  <c r="F380" i="1"/>
  <c r="D387" i="1"/>
  <c r="C387" i="1"/>
  <c r="D379" i="1"/>
  <c r="D380" i="1"/>
  <c r="D378" i="1"/>
  <c r="D381" i="1"/>
  <c r="D382" i="1"/>
  <c r="D383" i="1"/>
  <c r="D384" i="1"/>
  <c r="D385" i="1"/>
  <c r="B381" i="1"/>
  <c r="B382" i="1"/>
  <c r="B383" i="1"/>
  <c r="B384" i="1"/>
  <c r="B385" i="1"/>
  <c r="D386" i="1"/>
  <c r="C379" i="1"/>
  <c r="C378" i="1"/>
  <c r="C381" i="1"/>
  <c r="C382" i="1"/>
  <c r="C383" i="1"/>
  <c r="C384" i="1"/>
  <c r="C385" i="1"/>
  <c r="C386" i="1"/>
  <c r="D363" i="1"/>
  <c r="D367" i="1"/>
  <c r="C370" i="1"/>
  <c r="D370" i="1"/>
  <c r="C367" i="1"/>
  <c r="C366" i="1"/>
  <c r="B366" i="1"/>
  <c r="C365" i="1"/>
  <c r="C364" i="1"/>
  <c r="B364" i="1"/>
  <c r="C363" i="1"/>
  <c r="B363" i="1"/>
  <c r="D360" i="1"/>
  <c r="C360" i="1"/>
  <c r="F362" i="1"/>
  <c r="D359" i="1"/>
  <c r="C359" i="1"/>
  <c r="C356" i="1"/>
  <c r="D356" i="1"/>
  <c r="B356" i="1"/>
  <c r="D358" i="1"/>
  <c r="D357" i="1"/>
  <c r="C350" i="1"/>
  <c r="C351" i="1"/>
  <c r="B351" i="1"/>
  <c r="B350" i="1"/>
  <c r="C349" i="1"/>
  <c r="B349" i="1"/>
  <c r="C348" i="1"/>
  <c r="B348" i="1"/>
  <c r="C347" i="1"/>
  <c r="B347" i="1"/>
  <c r="C344" i="1"/>
  <c r="C345" i="1"/>
  <c r="C346" i="1"/>
  <c r="B346" i="1"/>
  <c r="B345" i="1"/>
  <c r="B344" i="1"/>
  <c r="C343" i="1"/>
  <c r="B343" i="1"/>
  <c r="C342" i="1"/>
  <c r="B342" i="1"/>
  <c r="C341" i="1"/>
  <c r="B341" i="1"/>
  <c r="C337" i="1"/>
  <c r="B337" i="1"/>
  <c r="C331" i="1"/>
  <c r="B331" i="1"/>
  <c r="C330" i="1"/>
  <c r="B330" i="1"/>
  <c r="C328" i="1"/>
  <c r="B328" i="1"/>
  <c r="C327" i="1"/>
  <c r="B327" i="1"/>
  <c r="C321" i="1"/>
  <c r="C322" i="1"/>
  <c r="C323" i="1"/>
  <c r="C324" i="1"/>
  <c r="B322" i="1"/>
  <c r="C316" i="1"/>
  <c r="C317" i="1"/>
  <c r="C318" i="1"/>
  <c r="C319" i="1"/>
  <c r="C320" i="1"/>
  <c r="B316" i="1"/>
  <c r="C309" i="1"/>
  <c r="C307" i="1"/>
  <c r="C305" i="1"/>
  <c r="C304" i="1"/>
  <c r="B304" i="1"/>
  <c r="B294" i="1"/>
  <c r="B292" i="1"/>
  <c r="B293" i="1"/>
  <c r="B295" i="1"/>
  <c r="B288" i="1"/>
  <c r="B287" i="1"/>
  <c r="B282" i="1"/>
  <c r="B281" i="1"/>
  <c r="B278" i="1"/>
  <c r="C271" i="1"/>
  <c r="B271" i="1"/>
  <c r="C270" i="1"/>
  <c r="B270" i="1"/>
  <c r="C269" i="1"/>
  <c r="B269" i="1"/>
  <c r="G257" i="1"/>
  <c r="I257" i="1"/>
  <c r="I259" i="1"/>
  <c r="I260" i="1"/>
  <c r="I258" i="1"/>
  <c r="I256" i="1"/>
  <c r="G258" i="1"/>
  <c r="G256" i="1"/>
  <c r="H256" i="1"/>
  <c r="H257" i="1"/>
  <c r="H258" i="1"/>
  <c r="C246" i="1"/>
  <c r="C249" i="1"/>
  <c r="C250" i="1"/>
  <c r="C251" i="1"/>
  <c r="C244" i="1"/>
  <c r="C243" i="1"/>
  <c r="C245" i="1"/>
  <c r="C247" i="1"/>
  <c r="C248" i="1"/>
  <c r="C242" i="1"/>
  <c r="B251" i="1"/>
  <c r="B250" i="1"/>
  <c r="B249" i="1"/>
  <c r="B234" i="1"/>
  <c r="B235" i="1"/>
  <c r="B236" i="1"/>
  <c r="B237" i="1"/>
  <c r="B238" i="1"/>
  <c r="E235" i="1"/>
  <c r="E236" i="1"/>
  <c r="F235" i="1"/>
  <c r="F236" i="1"/>
  <c r="E237" i="1"/>
  <c r="E232" i="1"/>
  <c r="F231" i="1"/>
  <c r="F232" i="1"/>
  <c r="E233" i="1"/>
  <c r="E223" i="1"/>
  <c r="E228" i="1"/>
  <c r="F224" i="1"/>
  <c r="F225" i="1"/>
  <c r="F226" i="1"/>
  <c r="F227" i="1"/>
  <c r="F228" i="1"/>
  <c r="E229" i="1"/>
  <c r="E238" i="1"/>
  <c r="C213" i="1"/>
  <c r="D213" i="1"/>
  <c r="D214" i="1"/>
  <c r="D212" i="1"/>
  <c r="C215" i="1"/>
  <c r="D215" i="1"/>
  <c r="D217" i="1"/>
  <c r="D218" i="1"/>
  <c r="C212" i="1"/>
  <c r="C217" i="1"/>
  <c r="C218" i="1"/>
  <c r="B212" i="1"/>
  <c r="E206" i="1"/>
  <c r="E205" i="1"/>
  <c r="C194" i="1"/>
  <c r="C195" i="1"/>
  <c r="C193" i="1"/>
  <c r="C196" i="1"/>
  <c r="C183" i="1"/>
  <c r="D186" i="1"/>
  <c r="C188" i="1"/>
  <c r="D188" i="1"/>
  <c r="D187" i="1"/>
  <c r="E187" i="1"/>
  <c r="D180" i="1"/>
  <c r="E180" i="1"/>
  <c r="D181" i="1"/>
  <c r="D182" i="1"/>
  <c r="D183" i="1"/>
  <c r="E183" i="1"/>
  <c r="D184" i="1"/>
  <c r="E184" i="1"/>
  <c r="D185" i="1"/>
  <c r="E186" i="1"/>
  <c r="D179" i="1"/>
  <c r="E179" i="1"/>
  <c r="D172" i="1"/>
  <c r="D173" i="1"/>
  <c r="D174" i="1"/>
  <c r="D175" i="1"/>
  <c r="D171" i="1"/>
  <c r="C161" i="1"/>
  <c r="C160" i="1"/>
  <c r="C159" i="1"/>
  <c r="D153" i="1"/>
  <c r="E153" i="1"/>
  <c r="D154" i="1"/>
  <c r="E154" i="1"/>
  <c r="C155" i="1"/>
  <c r="B155" i="1"/>
  <c r="D155" i="1"/>
  <c r="E155" i="1"/>
  <c r="C156" i="1"/>
  <c r="B156" i="1"/>
  <c r="D156" i="1"/>
  <c r="E156" i="1"/>
  <c r="D150" i="1"/>
  <c r="E150" i="1"/>
  <c r="D140" i="1"/>
  <c r="E140" i="1"/>
  <c r="C139" i="1"/>
  <c r="C141" i="1"/>
  <c r="B141" i="1"/>
  <c r="D141" i="1"/>
  <c r="E141" i="1"/>
  <c r="C142" i="1"/>
  <c r="B142" i="1"/>
  <c r="D142" i="1"/>
  <c r="E142" i="1"/>
  <c r="D143" i="1"/>
  <c r="E143" i="1"/>
  <c r="C144" i="1"/>
  <c r="D144" i="1"/>
  <c r="E144" i="1"/>
  <c r="C145" i="1"/>
  <c r="B145" i="1"/>
  <c r="D145" i="1"/>
  <c r="E145" i="1"/>
  <c r="C146" i="1"/>
  <c r="B146" i="1"/>
  <c r="D146" i="1"/>
  <c r="E146" i="1"/>
  <c r="D139" i="1"/>
  <c r="E139" i="1"/>
  <c r="D131" i="1"/>
  <c r="E131" i="1"/>
  <c r="D129" i="1"/>
  <c r="E129" i="1"/>
  <c r="D130" i="1"/>
  <c r="E130" i="1"/>
  <c r="C133" i="1"/>
  <c r="B133" i="1"/>
  <c r="D133" i="1"/>
  <c r="E133" i="1"/>
  <c r="C134" i="1"/>
  <c r="D134" i="1"/>
  <c r="E134" i="1"/>
  <c r="D128" i="1"/>
  <c r="E128" i="1"/>
  <c r="C121" i="1"/>
  <c r="D121" i="1"/>
  <c r="C122" i="1"/>
  <c r="D118" i="1"/>
  <c r="E118" i="1"/>
  <c r="E119" i="1"/>
  <c r="D120" i="1"/>
  <c r="E120" i="1"/>
  <c r="E121" i="1"/>
  <c r="D122" i="1"/>
  <c r="B112" i="1"/>
  <c r="B107" i="1"/>
  <c r="B113" i="1"/>
  <c r="B108" i="1"/>
  <c r="C107" i="1"/>
  <c r="C108" i="1"/>
  <c r="C111" i="1"/>
  <c r="D111" i="1"/>
  <c r="C110" i="1"/>
  <c r="D110" i="1"/>
  <c r="C96" i="1"/>
  <c r="C97" i="1"/>
  <c r="B97" i="1"/>
  <c r="D97" i="1"/>
  <c r="E97" i="1"/>
  <c r="C98" i="1"/>
  <c r="D98" i="1"/>
  <c r="C99" i="1"/>
  <c r="D99" i="1"/>
  <c r="C100" i="1"/>
  <c r="D100" i="1"/>
  <c r="C101" i="1"/>
  <c r="D101" i="1"/>
  <c r="C102" i="1"/>
  <c r="D102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88" i="1"/>
  <c r="E88" i="1"/>
  <c r="D59" i="1"/>
  <c r="E59" i="1"/>
  <c r="D60" i="1"/>
  <c r="E60" i="1"/>
  <c r="D61" i="1"/>
  <c r="E61" i="1"/>
  <c r="D58" i="1"/>
  <c r="E58" i="1"/>
  <c r="C64" i="1"/>
  <c r="C65" i="1"/>
  <c r="D65" i="1"/>
  <c r="C62" i="1"/>
  <c r="C63" i="1"/>
  <c r="B63" i="1"/>
  <c r="D63" i="1"/>
  <c r="E63" i="1"/>
  <c r="D62" i="1"/>
  <c r="E62" i="1"/>
  <c r="D50" i="1"/>
  <c r="J46" i="1"/>
  <c r="D47" i="1"/>
  <c r="I46" i="1"/>
  <c r="J47" i="1"/>
  <c r="J48" i="1"/>
  <c r="J49" i="1"/>
  <c r="D46" i="1"/>
  <c r="F46" i="1"/>
  <c r="D45" i="1"/>
  <c r="D64" i="1"/>
  <c r="E64" i="1"/>
  <c r="G46" i="1"/>
  <c r="F47" i="1"/>
  <c r="F48" i="1"/>
  <c r="F49" i="1"/>
  <c r="D38" i="1"/>
  <c r="E38" i="1"/>
  <c r="D37" i="1"/>
  <c r="D36" i="1"/>
  <c r="D35" i="1"/>
  <c r="E35" i="1"/>
  <c r="D23" i="1"/>
  <c r="E23" i="1"/>
  <c r="C26" i="1"/>
  <c r="C28" i="1"/>
  <c r="C29" i="1"/>
  <c r="C27" i="1"/>
  <c r="D28" i="1"/>
  <c r="E28" i="1"/>
  <c r="C19" i="1"/>
  <c r="B27" i="1"/>
  <c r="D29" i="1"/>
  <c r="E29" i="1"/>
  <c r="D26" i="1"/>
  <c r="E26" i="1"/>
  <c r="C24" i="1"/>
  <c r="D4" i="1"/>
  <c r="C5" i="1"/>
  <c r="B5" i="1"/>
  <c r="D5" i="1"/>
  <c r="D3" i="1"/>
  <c r="D8" i="1"/>
  <c r="B30" i="1"/>
  <c r="F24" i="1"/>
  <c r="F27" i="1"/>
  <c r="D27" i="1"/>
  <c r="E27" i="1"/>
  <c r="C30" i="1"/>
  <c r="G24" i="1"/>
  <c r="H24" i="1"/>
  <c r="D24" i="1"/>
  <c r="E24" i="1"/>
  <c r="G30" i="1"/>
  <c r="G23" i="1"/>
  <c r="G25" i="1"/>
  <c r="D30" i="1"/>
  <c r="E30" i="1"/>
  <c r="G26" i="1"/>
  <c r="G29" i="1"/>
  <c r="G28" i="1"/>
  <c r="G27" i="1"/>
  <c r="H27" i="1"/>
  <c r="F30" i="1"/>
  <c r="F23" i="1"/>
  <c r="F29" i="1"/>
  <c r="F28" i="1"/>
  <c r="H28" i="1"/>
  <c r="H25" i="1"/>
  <c r="H30" i="1"/>
  <c r="H29" i="1"/>
  <c r="H23" i="1"/>
</calcChain>
</file>

<file path=xl/sharedStrings.xml><?xml version="1.0" encoding="utf-8"?>
<sst xmlns="http://schemas.openxmlformats.org/spreadsheetml/2006/main" count="1229" uniqueCount="757">
  <si>
    <t>Показатель</t>
  </si>
  <si>
    <t>базисн</t>
  </si>
  <si>
    <t xml:space="preserve">отч </t>
  </si>
  <si>
    <t>абс измен</t>
  </si>
  <si>
    <t>Ставка НДС</t>
  </si>
  <si>
    <t>База НДС</t>
  </si>
  <si>
    <t>НДС</t>
  </si>
  <si>
    <t>измен Ннач ст = (Сот – Сбаз) *Бба</t>
  </si>
  <si>
    <t>изм Ннач баз = (Ботч – Ббаз) * Сот</t>
  </si>
  <si>
    <r>
      <t xml:space="preserve">1. </t>
    </r>
    <r>
      <rPr>
        <sz val="10"/>
        <color theme="1"/>
        <rFont val="Arial"/>
        <family val="2"/>
        <charset val="204"/>
      </rPr>
      <t>При помощи методов группировки, горизонтального и вертикального анализа, по представленным в таблице исходным данным, исследуйте структуру пассива баланса организации - налогоплательщика и ответьте на вопрос: каким образом изменится сумма и удельный вес статей, возникающих вследствие налогообложения (каждой и в совокупности) и статей неналогового характера (в целом). Что интересного в сложившейся картине с позиции налогового консультанта?</t>
    </r>
  </si>
  <si>
    <t>Наименование статьи пассива баланса</t>
  </si>
  <si>
    <t>Сумма, тыс. руб.</t>
  </si>
  <si>
    <t>31.12.20</t>
  </si>
  <si>
    <t>31.12.21</t>
  </si>
  <si>
    <t>Собственный капитал</t>
  </si>
  <si>
    <t>Долгосрочные заемные пассивы – всего</t>
  </si>
  <si>
    <t>в том числе ОНО</t>
  </si>
  <si>
    <t>Краткосрочные заемные пассивы - всего</t>
  </si>
  <si>
    <t>в том числе КЗ перед государством по налогам</t>
  </si>
  <si>
    <t>Итого</t>
  </si>
  <si>
    <t>Налоговые пассвы в том числе:</t>
  </si>
  <si>
    <t>ОНО</t>
  </si>
  <si>
    <t>КЗ перед государством по налогам</t>
  </si>
  <si>
    <t>относит измен</t>
  </si>
  <si>
    <t>уд вес 2020</t>
  </si>
  <si>
    <t>уд вес 2021</t>
  </si>
  <si>
    <t>Измен уд весов</t>
  </si>
  <si>
    <t>неналоговые пассивы в том числе</t>
  </si>
  <si>
    <t>Долгосрочные заемные пассивы</t>
  </si>
  <si>
    <t>Краткосрочные заемные пассивы</t>
  </si>
  <si>
    <t>итого пассив</t>
  </si>
  <si>
    <t xml:space="preserve">2. Определите суммарное количественное влияние факторов на величину налога на прибыль, рассчитываемого по правилам бухгалтерского и налогового учета.  
Исходные данные представлены в таблице.
</t>
  </si>
  <si>
    <t>Виды доходов и расходов</t>
  </si>
  <si>
    <t>Величина показателя, тыс. руб.</t>
  </si>
  <si>
    <t>в бухгалтерском учете</t>
  </si>
  <si>
    <t>в налоговом учете</t>
  </si>
  <si>
    <t>Представительские расходы</t>
  </si>
  <si>
    <t>Командировочные расходы</t>
  </si>
  <si>
    <t>Амортизация на амортизируемое имущество</t>
  </si>
  <si>
    <t>Начисленные, но не полученные дивиденды</t>
  </si>
  <si>
    <t>измен</t>
  </si>
  <si>
    <t xml:space="preserve">ПНР, ОНА,ОНО, ПНД </t>
  </si>
  <si>
    <t>Влияние на налог на прибыль</t>
  </si>
  <si>
    <t>ПНР</t>
  </si>
  <si>
    <t>ОНА</t>
  </si>
  <si>
    <t>ПНД</t>
  </si>
  <si>
    <t xml:space="preserve">3. Имеются следующие сведения об организации:
- задолженность перед бюджетом по НДС на начало периода - 145 тыс. руб.;
- выручка от реализации продукции за период - 450 тыс. руб. (с НДС – 20%); 
- НДС по приобретенным ценностям на начало периода - 88 тыс. руб.; 
- приобретены товары на сумму 320 тыс. руб. (с учетом НДС – 20%). 
- уплачен НДС в течение периода - 48 тыс. руб.; 
- сумма НДС, принятая к вычету, – 44 тыс. руб. 
Рассчитайте изменение величины НДС по приобретенным ценностям и остатка кредиторской задолженности перед бюджетом по НДС и оцените их влияние на финансовое состояние организации.
</t>
  </si>
  <si>
    <t>Содерж Опер</t>
  </si>
  <si>
    <t>Д</t>
  </si>
  <si>
    <t>К</t>
  </si>
  <si>
    <t>Сумма</t>
  </si>
  <si>
    <t>сч 19</t>
  </si>
  <si>
    <t>Сальдо на нач пер</t>
  </si>
  <si>
    <t>Обороты</t>
  </si>
  <si>
    <t>Сальдо на конец пер</t>
  </si>
  <si>
    <t>Абс изме</t>
  </si>
  <si>
    <t xml:space="preserve">68.2 </t>
  </si>
  <si>
    <t>НДС по приобр</t>
  </si>
  <si>
    <t>Кредит задолж по НДС</t>
  </si>
  <si>
    <t>Оплата товаров</t>
  </si>
  <si>
    <t>Принятие к учёту товаров</t>
  </si>
  <si>
    <t>Выделен НДС</t>
  </si>
  <si>
    <t>Получены ден ср-ва</t>
  </si>
  <si>
    <t>отраж доход от реал</t>
  </si>
  <si>
    <t>Нач НДС</t>
  </si>
  <si>
    <t>Оплачен НДС</t>
  </si>
  <si>
    <t>Товары спис на себест</t>
  </si>
  <si>
    <t>Отр фин рез</t>
  </si>
  <si>
    <t>Начисл нал на приб</t>
  </si>
  <si>
    <t>68.2</t>
  </si>
  <si>
    <t>90.1</t>
  </si>
  <si>
    <t>90.3</t>
  </si>
  <si>
    <t>90.2</t>
  </si>
  <si>
    <t>90.9</t>
  </si>
  <si>
    <t>68.4</t>
  </si>
  <si>
    <t>НДС к вычету</t>
  </si>
  <si>
    <t>1. Используя приведенные ниже данные, определите величину собственного оборотного капитала и его долю в финансировании оборотных активов. Дайте оценку изменениям.</t>
  </si>
  <si>
    <t>Показатели, тыс. руб.</t>
  </si>
  <si>
    <t>31.12.2020</t>
  </si>
  <si>
    <t>31.12.2021</t>
  </si>
  <si>
    <t>Внеоборотные активы</t>
  </si>
  <si>
    <t>Оборотные активы</t>
  </si>
  <si>
    <t>Текущие обязательства</t>
  </si>
  <si>
    <t>Итого актив</t>
  </si>
  <si>
    <t>Итого пассив</t>
  </si>
  <si>
    <t>абсол измен</t>
  </si>
  <si>
    <t>Относит измен</t>
  </si>
  <si>
    <t>Собств оборотн капитал</t>
  </si>
  <si>
    <t>Доля СОС в оборотн активах</t>
  </si>
  <si>
    <t>более 0,1</t>
  </si>
  <si>
    <t>4. Проанализируйте финансовую устойчивость организации-налогоплательщика, опираясь на данные, приведенные в таблице, и оцените ее способность отвечать по своим налоговым обязательствам, наряду с другими.</t>
  </si>
  <si>
    <t>Наименование показателя</t>
  </si>
  <si>
    <t>Значение, тыс. руб.</t>
  </si>
  <si>
    <t>Итог по разделу «Внеоборотные активы» (ВА)</t>
  </si>
  <si>
    <t>Запасы (Зап)</t>
  </si>
  <si>
    <t>НДС по приобретенным ценностям</t>
  </si>
  <si>
    <t>Итог по разделу «Капитал и резервы» (СК)</t>
  </si>
  <si>
    <t>Долгосрочные обязательства (ДО)</t>
  </si>
  <si>
    <t>Краткосрочные заемные средства (КЗС)</t>
  </si>
  <si>
    <t xml:space="preserve"> Запасы и НДС</t>
  </si>
  <si>
    <t>СОК (С уч дох буд пер) = Кап и рез + Дох буд пер - Внеоб акт</t>
  </si>
  <si>
    <t>СОК + ДО = СОС</t>
  </si>
  <si>
    <t>СОК + ДО + Займы и кред</t>
  </si>
  <si>
    <t>СОК - Запасы и НДС</t>
  </si>
  <si>
    <t>СОК + ДО - Запасы и НДС</t>
  </si>
  <si>
    <t>(СОК + ДО + Займы и кред) - Запасы и НДС</t>
  </si>
  <si>
    <t>Соотношение запасов и групп источников</t>
  </si>
  <si>
    <t>Тип финансовой устойчивости</t>
  </si>
  <si>
    <t xml:space="preserve">Запасы &lt; = СОК (без долгосрочных обязательств) </t>
  </si>
  <si>
    <t>Абсолютная финансовая устойчивость</t>
  </si>
  <si>
    <t xml:space="preserve">Запасы &lt; = СОК + ДО  </t>
  </si>
  <si>
    <t>Нормальная финансовая устойчивость</t>
  </si>
  <si>
    <t xml:space="preserve">Запасы &lt; = СОК + ДО+ЗК </t>
  </si>
  <si>
    <t>Неустойчивое финансовое состояние</t>
  </si>
  <si>
    <t>Запасы &lt; = СОК + ДО + ЗК + Зпост</t>
  </si>
  <si>
    <t>Кризисное финансовое состояние</t>
  </si>
  <si>
    <t>S(, , , )</t>
  </si>
  <si>
    <t>S(0, 0, 0 )</t>
  </si>
  <si>
    <t xml:space="preserve">3. Дайте оценку динамике структуры текущих активов и рассчитайте финансовые коэффициенты ликвидности исходя из данных, представленных в таблице. Укажите, повлияют ли происшедшие изменения, в том числе связанные с суммой НДС, на своевременность налоговых платежей:
</t>
  </si>
  <si>
    <t>Группы оборотных активов</t>
  </si>
  <si>
    <t>Стоимость, тыс. руб.</t>
  </si>
  <si>
    <t>Оборотные активы - всего:</t>
  </si>
  <si>
    <t>в т.ч. денежные средства</t>
  </si>
  <si>
    <t>в т.ч. сомнительная</t>
  </si>
  <si>
    <t>Запасы</t>
  </si>
  <si>
    <t>из них неликвиды</t>
  </si>
  <si>
    <t xml:space="preserve">Краткосрочная дебиторская     задолженность покупателей                   </t>
  </si>
  <si>
    <t>Коэффициент абсолютной ликвидности</t>
  </si>
  <si>
    <t>Абсол изм</t>
  </si>
  <si>
    <t>(денежные средства + краткосрочные финансовые вложения) / краткосрочные обязательства</t>
  </si>
  <si>
    <t>Коэффициент критической ликвидности</t>
  </si>
  <si>
    <t>(денежные средства + краткосрочные финансовые вложения + краткосрочная дебиторская задолженность + прочие оборотные активы) / краткосрочные обязательства</t>
  </si>
  <si>
    <t>Коэффициент текущей ликвидности</t>
  </si>
  <si>
    <t>(оборотные активы - долгосрочная дебиторская задолженность) / краткосрочные обязательства</t>
  </si>
  <si>
    <t>норма больше 0,2</t>
  </si>
  <si>
    <t>0,7-1</t>
  </si>
  <si>
    <t>больше 2</t>
  </si>
  <si>
    <t>Итого данных обор акт</t>
  </si>
  <si>
    <t>Гип: существует долг деб задолж</t>
  </si>
  <si>
    <t>Коэффициент критической ликвидности (с учётом сомнит деб задолж)</t>
  </si>
  <si>
    <t>Коэффициент текущей ликвидности (с учетом сомнит деб задолж и неликвидн запасов)</t>
  </si>
  <si>
    <t>31.12.2020, тыс. руб.</t>
  </si>
  <si>
    <t>31.12.2021, тыс. руб.</t>
  </si>
  <si>
    <t>Текущие активы</t>
  </si>
  <si>
    <t>в т.ч. запасы</t>
  </si>
  <si>
    <t>6. Имеются следующие сведения о деятельности организации: Проанализируйте изменение коэффициентов ликвидности. Оцените платежеспособность организации</t>
  </si>
  <si>
    <t>Коэффициент срочной ликвидности (крит)</t>
  </si>
  <si>
    <t>тек ликв= (оборотные активы - долгосрочная дебиторская задолженность) / краткосрочные обязательства</t>
  </si>
  <si>
    <t>крит ликв =(денежные средства + краткосрочные финансовые вложения + краткосрочная дебиторская задолженность + прочие оборотные активы) / краткосрочные обязательства</t>
  </si>
  <si>
    <t>Изменение</t>
  </si>
  <si>
    <t>Гип иссл- отсутствие долг деб задолж</t>
  </si>
  <si>
    <t>(обор акт-запасы)/кр обяз</t>
  </si>
  <si>
    <t>(32500-X)/26000=0,75</t>
  </si>
  <si>
    <t>1. Имеются следующие показатели деятельности организации в отчётном периоде. Временных разниц нет: Проанализируйте, какое влияние на величину показателя рентабельности капитала окажет изменение величины налога на прибыль.</t>
  </si>
  <si>
    <t>Плановое значение, тыс. руб.</t>
  </si>
  <si>
    <t>Фактическое значение, тыс. руб.</t>
  </si>
  <si>
    <t>Прибыль до налогообложения</t>
  </si>
  <si>
    <t>Налогооблагаемая прибыль</t>
  </si>
  <si>
    <t>Капитал, в среднем за период</t>
  </si>
  <si>
    <t>Рентаб капит=ЧП/капитал</t>
  </si>
  <si>
    <t>ЧП</t>
  </si>
  <si>
    <t>Налог на прибыль</t>
  </si>
  <si>
    <t>Абсол Изменение</t>
  </si>
  <si>
    <t>2. Организация применила налоговое планирование по НДС и налогу на имущество организаций. Оцените его влияние на динамику показателя рентабельности продаж, изменения уровня налоговых издержек (входящих в состав себестоимости проданных товаров, а также коммерческих и управленческих расходов, связанных с их реализацией) на основании исходных данных представленных в таблице.</t>
  </si>
  <si>
    <t>Значение показателя (тыс. руб.)</t>
  </si>
  <si>
    <t>до применения налогового планирования</t>
  </si>
  <si>
    <t>после применения налогового планирования</t>
  </si>
  <si>
    <t xml:space="preserve">Выручка (нетто) от продажи </t>
  </si>
  <si>
    <t>Себестоимость (без налоговых издержек)</t>
  </si>
  <si>
    <t>Коммерческие и управленческие расходы (без налоговых издержек)</t>
  </si>
  <si>
    <t>Величина налоговых издержек, входящих в состав</t>
  </si>
  <si>
    <t>себестоимости, коммерческих и управленческих расходов</t>
  </si>
  <si>
    <t>Рентабельн продаж=Приб от продаж/выручку</t>
  </si>
  <si>
    <t>прибыль от продаж</t>
  </si>
  <si>
    <t xml:space="preserve">Абсол измен </t>
  </si>
  <si>
    <t>влияние измен налог издержек</t>
  </si>
  <si>
    <t xml:space="preserve">4. Организация оказывает услуги питания в буфете телерадиокомпании. Определите, как изменится рентабельность продаж в случае снижения величины налоговых издержек, входящих в состав постоянных затрат буфета, на 25% при одновременном снижении торговой надбавки на 4%.
В отчетном периоде затраты на продукты питания составили 250 тыс. руб.; постоянные расходы без учета налогов 165 тыс. руб.; торговая надбавка на продукты питания – 90%; налоговые издержки - 55 тыс. руб.
</t>
  </si>
  <si>
    <t>затраты на продукты питания (VC)</t>
  </si>
  <si>
    <t xml:space="preserve"> торговая надбавка</t>
  </si>
  <si>
    <t>Выручка</t>
  </si>
  <si>
    <t>налоговые издержки</t>
  </si>
  <si>
    <t>Прибыль</t>
  </si>
  <si>
    <t xml:space="preserve"> постоянные расходы без учета налогов (FC)</t>
  </si>
  <si>
    <t>Процент торг надбавки</t>
  </si>
  <si>
    <t>Рентаб продаж</t>
  </si>
  <si>
    <t>абс изм</t>
  </si>
  <si>
    <t>отн измен</t>
  </si>
  <si>
    <t>6. Рассчитайте средний период погашения дебиторской и кредиторской задолженности в днях. Соответствует ли соотношение полученных показателей своевременному погашению обязательств по уплате налогов и других платежей?</t>
  </si>
  <si>
    <t>Предыдущий год</t>
  </si>
  <si>
    <t>Отчетный год</t>
  </si>
  <si>
    <t>Продажи</t>
  </si>
  <si>
    <t>Себестоимость продаж</t>
  </si>
  <si>
    <t>Среднегодовая стоимость:</t>
  </si>
  <si>
    <t>дебиторской задолженности</t>
  </si>
  <si>
    <t>кредиторской задолженности</t>
  </si>
  <si>
    <t>Абс изм</t>
  </si>
  <si>
    <t>Относ изм</t>
  </si>
  <si>
    <t>Обор дебит задолж=365 х краткосрочная дебиторская задолженность (среднее) / выручка</t>
  </si>
  <si>
    <t>Обор кред задолж=365 х кредиторская задолженность поставщикам (среднее) / выручка</t>
  </si>
  <si>
    <t>лизинг</t>
  </si>
  <si>
    <t>Кредит</t>
  </si>
  <si>
    <t xml:space="preserve">Займ у взаим </t>
  </si>
  <si>
    <t>реальн стоим финансир</t>
  </si>
  <si>
    <t>по 269 НК</t>
  </si>
  <si>
    <t>5. Определите продолжительность операционного и финансового циклов за отчетный год по следующим данным:</t>
  </si>
  <si>
    <t>Какие выводы можно сделать, если в предыдущем году с момента возникновения до момента погашения задолженности поставщикам в среднем проходило 46 дней, а длительность операционного цикла составляла 102 день, в том числе: период хранения материалов - 64 дня, а средний срок погашения дебиторской задолженности - 44 дня.</t>
  </si>
  <si>
    <t>Значение показателя, тыс. руб.</t>
  </si>
  <si>
    <t>средняя стоимость дебиторской задолженности</t>
  </si>
  <si>
    <t xml:space="preserve">средняя стоимость запасов материалов   </t>
  </si>
  <si>
    <t>средняя кредиторская задолженность поставщикам</t>
  </si>
  <si>
    <t>выручка от реализации за год</t>
  </si>
  <si>
    <t xml:space="preserve">объем закупок материалов у поставщиков  </t>
  </si>
  <si>
    <t>Оборачиваемость запасов=365 х запасы (среднее) / зак мат у пост</t>
  </si>
  <si>
    <t>Оборачиваемость дебиторской задолженности=365 х  дебиторская задолженность (среднее) / выручка</t>
  </si>
  <si>
    <t>Оборачиваемость кредиторской задолженности=365 х кредиторская задолженность (среднее) / выручка</t>
  </si>
  <si>
    <t>Длительность операционного цикла=оборачиваемость запасов + оборачиваемость дебиторской задолженности</t>
  </si>
  <si>
    <t>Длительность финансового цикла=оборачиваемость запасов + оборачиваемость дебиторской задолженности - оборачиваемость краткосрочной кредиторской задолженности</t>
  </si>
  <si>
    <t>пред пер</t>
  </si>
  <si>
    <t xml:space="preserve">8. Проанализируйте, какое влияние на рентабельность капитала окажет изменение величины налога на прибыль, если известно следующее.
Планировалось, что прибыль организации – и бухгалтерская, и по налоговому учету – составит 1000 тыс. руб., а валюта баланса (капитал в среднем за период) - 5600 тыс. руб. 
Фактическая бухгалтерская прибыль составила 700 тыс. руб., кроме того, образовалась вычитаемая временная разница – 110 тыс. руб.
</t>
  </si>
  <si>
    <t>План</t>
  </si>
  <si>
    <t>Факт</t>
  </si>
  <si>
    <t>Прибыль бухгалтерская</t>
  </si>
  <si>
    <t>Прибыль по налоговому учёту</t>
  </si>
  <si>
    <t xml:space="preserve">Вычит временн разница </t>
  </si>
  <si>
    <t>Налог на прибыль в том числе</t>
  </si>
  <si>
    <t>Текущий нал на приб</t>
  </si>
  <si>
    <t>Отложенный налог</t>
  </si>
  <si>
    <t>Чистая прибыль</t>
  </si>
  <si>
    <t>Капитал</t>
  </si>
  <si>
    <t>Рентабельность капитала</t>
  </si>
  <si>
    <t>700*0,2+110*0,2</t>
  </si>
  <si>
    <t xml:space="preserve">11. Выручка организации (ОСНО) за анализируемый период составила 59 000 000 руб. (с НДС – 20%). Величина дебиторской задолженности организации на начало отчетного периода составляла 2 360 000 руб., на конец периода размер задолженности сократился на 15%. 
Проанализируйте показатели оборачиваемости дебиторской задолженности. Для каких целей определяются эти показатели?
</t>
  </si>
  <si>
    <t xml:space="preserve">Выручка с НДС </t>
  </si>
  <si>
    <t>Выручка без НДС</t>
  </si>
  <si>
    <t>Дебиторская задолж</t>
  </si>
  <si>
    <t>Среднее значен дебит задолж</t>
  </si>
  <si>
    <t>Оборачив дебит задолж</t>
  </si>
  <si>
    <t xml:space="preserve">12. В предыдущем периоде, рентабельность оборотных активов - 13,06%. Проанализируйте изменение рентабельности оборотных активов в результате изменения балансового остатка дебиторской задолженности организации. Поясните экономический смысл этого показателя. Данные отчетного периода:
</t>
  </si>
  <si>
    <t>Показатель, тыс. руб.</t>
  </si>
  <si>
    <t>Прибыль за период</t>
  </si>
  <si>
    <t xml:space="preserve">Сумма оборотных активов </t>
  </si>
  <si>
    <t xml:space="preserve">Дебиторская задолженность </t>
  </si>
  <si>
    <t>Средняя велич обор акт</t>
  </si>
  <si>
    <t>Средняя велич обор акт с неизм дебиторской задолж</t>
  </si>
  <si>
    <t>Рент обор акт</t>
  </si>
  <si>
    <t>Рент обор акт с неизм дебит задол</t>
  </si>
  <si>
    <t xml:space="preserve">1. Организация реализует продукцию по контракту в количестве 1500 шт. по цене 590 руб. за единицу. Переменные затраты на единицу продукции составляют 370 руб., а постоянные затраты за весь период – 250 000 руб. Другой покупатель предложил организации контракт на покупку такой же партии продукции, но по цене 620 руб. Однако принятие нового предложения приведет к росту переменных затрат на 40 руб., а также к уплате неустойки по текущему контракту в сумме 50 000 руб. 
Стоит ли расторгать контракт? Как в этом случае изменится сумма прибыли?
</t>
  </si>
  <si>
    <t>Объем реал</t>
  </si>
  <si>
    <t>Цена ед</t>
  </si>
  <si>
    <t>Переменные на ед</t>
  </si>
  <si>
    <t xml:space="preserve">Общие переменные затр </t>
  </si>
  <si>
    <t>Постоянные затр</t>
  </si>
  <si>
    <t>Неустойка</t>
  </si>
  <si>
    <t>Рентабельность продаж</t>
  </si>
  <si>
    <r>
      <t>3.</t>
    </r>
    <r>
      <rPr>
        <sz val="10"/>
        <color theme="1"/>
        <rFont val="Arial"/>
        <family val="2"/>
        <charset val="204"/>
      </rPr>
      <t xml:space="preserve"> Используя данные о хозяйственных операциях, составьте отчет (прямым способом) о движении денежных средств, определить сумму прибыли (выручку считать по отгрузке); укажите причины разли­чий этих показателей.</t>
    </r>
  </si>
  <si>
    <t>Операция</t>
  </si>
  <si>
    <t>Млн руб.</t>
  </si>
  <si>
    <t>Приобретены и оплачены производственные запасы</t>
  </si>
  <si>
    <t>Получена ссуда</t>
  </si>
  <si>
    <t>Начислена и выплачена зарплата</t>
  </si>
  <si>
    <t>Начислена амортизация</t>
  </si>
  <si>
    <t>Списаны на производство материалы</t>
  </si>
  <si>
    <t>Погашена ссуда</t>
  </si>
  <si>
    <t>Начислены и Уплачены проценты</t>
  </si>
  <si>
    <t>Отгружена продукция</t>
  </si>
  <si>
    <t>Зачислена на расчетный счет выручка</t>
  </si>
  <si>
    <t>Начислен и уплачен налог</t>
  </si>
  <si>
    <t>Приобретены и оплачены основные средства</t>
  </si>
  <si>
    <t>Притоки/оттоки денежных средств по сферам деятельности</t>
  </si>
  <si>
    <t>Приток денежных средств (млн руб.)</t>
  </si>
  <si>
    <t>Отток денежных средств (млн руб.)</t>
  </si>
  <si>
    <t>1. Потоки денежных средств в результате текущей деятельности:</t>
  </si>
  <si>
    <t>- денежные средства, полученные от покупателей и заказчиков (зачислена на расчетный счет выручка)</t>
  </si>
  <si>
    <t>- денежные средства, выплаченные поставщикам, подрядчикам, рабочим и служащим</t>
  </si>
  <si>
    <t>- налоги, уплаченные в бюджет (НДС, акцизы, налог на прибыль и др.)</t>
  </si>
  <si>
    <t>- проценты уплаченные</t>
  </si>
  <si>
    <t>Итого по разделу 1</t>
  </si>
  <si>
    <t>ЧДП по текущей деятельности</t>
  </si>
  <si>
    <t>2. Потоки денежных средств в результате инвестиционной деятельности:</t>
  </si>
  <si>
    <t>- приобретение и продажа основных средств</t>
  </si>
  <si>
    <t>Итого по разделу 2</t>
  </si>
  <si>
    <t>ЧДП по инвестиционной деятельности</t>
  </si>
  <si>
    <t>3. Потоки денежных средств в результате финансовой деятельности:</t>
  </si>
  <si>
    <t>- полученные и погашенные займы</t>
  </si>
  <si>
    <t>Итого по разделу 3</t>
  </si>
  <si>
    <t>Чистые денежные средства в результате финансовой деятельности</t>
  </si>
  <si>
    <t>ЧДП общий за отчетный период</t>
  </si>
  <si>
    <t>Отчет о фин рез</t>
  </si>
  <si>
    <t>Себестоим</t>
  </si>
  <si>
    <t>Проценты к уплате</t>
  </si>
  <si>
    <t>Налог</t>
  </si>
  <si>
    <r>
      <t>5.</t>
    </r>
    <r>
      <rPr>
        <sz val="10"/>
        <color theme="1"/>
        <rFont val="Arial"/>
        <family val="2"/>
        <charset val="204"/>
      </rPr>
      <t xml:space="preserve"> На основе представленных в таблице данных используйте коэффициент достаточности ЧДП организации и выясните, позволит ли снижение налоговых выплат в текущем периоде на 80 тыс. руб.  достичь уровня достаточности ЧДП этой организации.</t>
    </r>
  </si>
  <si>
    <t>Общая сумма поступлений ДС за период</t>
  </si>
  <si>
    <t>Общая сумма выбытия ДС за период</t>
  </si>
  <si>
    <t>Налоговые издержки (до снижения)</t>
  </si>
  <si>
    <t>Выплаты по краткосрочным кредитам и займам</t>
  </si>
  <si>
    <t>Суммы дивидендов, выплаченные собственником за период</t>
  </si>
  <si>
    <t>Уровень запасов ТМЦ на начало периода</t>
  </si>
  <si>
    <t>Уровень запасов ТМЦ на конец периода</t>
  </si>
  <si>
    <t>После сниж нал</t>
  </si>
  <si>
    <t>Сумма затрат для покр</t>
  </si>
  <si>
    <t>Ден поток</t>
  </si>
  <si>
    <t>коэффициент достаточности ЧДП</t>
  </si>
  <si>
    <t xml:space="preserve"> Годы</t>
  </si>
  <si>
    <t>Запасы,</t>
  </si>
  <si>
    <t>тыс. руб.</t>
  </si>
  <si>
    <t>Дебиторская задолженность, тыс. руб.</t>
  </si>
  <si>
    <t>Кредиторская задолженность, тыс. руб.</t>
  </si>
  <si>
    <t>Инфляция в % к предыд. году</t>
  </si>
  <si>
    <r>
      <t xml:space="preserve">7. </t>
    </r>
    <r>
      <rPr>
        <sz val="10"/>
        <color theme="1"/>
        <rFont val="Arial"/>
        <family val="2"/>
        <charset val="204"/>
      </rPr>
      <t>Совмещая расчетно-аналитический и коэффициентный методы, спрогнозируйте величину потребности организации в оборотном капитале на 2020 год на основании исходных данных, представленных в таблице.  Также известно, что в планируемом 2021 году будет погашена налоговыми органами признанная в 2020 году  переплата налога на сумму 50 тыс. руб.</t>
    </r>
  </si>
  <si>
    <t>потр в об кап Пi</t>
  </si>
  <si>
    <t>Индекс инфл I</t>
  </si>
  <si>
    <t>Пi*I</t>
  </si>
  <si>
    <t>Потребность в обор капит</t>
  </si>
  <si>
    <t>Потребность в обор капит с учётом переплаты</t>
  </si>
  <si>
    <r>
      <t>1.</t>
    </r>
    <r>
      <rPr>
        <sz val="10"/>
        <color theme="1"/>
        <rFont val="Arial"/>
        <family val="2"/>
        <charset val="204"/>
      </rPr>
      <t xml:space="preserve"> Проанализируйте, в каком случае меньший объем денежных средств будет потрачен на налоговые расчеты с бюджетом по сравнению с результатами деятельности организации. Используйте кассовый метод.</t>
    </r>
  </si>
  <si>
    <t>Значение, тыс. руб.</t>
  </si>
  <si>
    <t>вариант I</t>
  </si>
  <si>
    <t>вариант II</t>
  </si>
  <si>
    <t>Значение поступлений денежных средств за период</t>
  </si>
  <si>
    <t>Величина расходования денежных средств на погашение неналоговых обязательств</t>
  </si>
  <si>
    <t>Совокупность налоговых издержек, возникших в течение периода</t>
  </si>
  <si>
    <t>Остаток кредиторской задолженности перед бюджетом по уплате налогов на начало периода</t>
  </si>
  <si>
    <t>Остаток кредиторской задолженности перед бюджетом по уплате налогов на конец периода</t>
  </si>
  <si>
    <t xml:space="preserve">денежный поток организации по налоговым издержкам </t>
  </si>
  <si>
    <t xml:space="preserve">чистый денежный поток организации </t>
  </si>
  <si>
    <t xml:space="preserve">коэффициент налогообложения чистого денежного потока </t>
  </si>
  <si>
    <r>
      <t>4.</t>
    </r>
    <r>
      <rPr>
        <sz val="10"/>
        <color theme="1"/>
        <rFont val="Arial"/>
        <family val="2"/>
        <charset val="204"/>
      </rPr>
      <t xml:space="preserve"> Организация (производство пластмассовой мебели для мест общественного питания) в 2020 году произвела и реализовала 25 000 единиц продукции по цене 500 руб. за единицу (указано без НДС). Себестоимость продукции составила 6,1 млн руб., коммерческие и управленческие расходы – 4 млн руб.    </t>
    </r>
  </si>
  <si>
    <t>Оцените рентабельность продаж по методике ФНС России и риск назначения выездной налоговой проверки.</t>
  </si>
  <si>
    <t>Объём реализации</t>
  </si>
  <si>
    <t>Цена</t>
  </si>
  <si>
    <t>Себестоимость продукции</t>
  </si>
  <si>
    <t xml:space="preserve">коммерческие и управленческие расходы </t>
  </si>
  <si>
    <t>Рентабельность продукции по 333</t>
  </si>
  <si>
    <r>
      <t xml:space="preserve">6. </t>
    </r>
    <r>
      <rPr>
        <sz val="10"/>
        <color theme="1"/>
        <rFont val="Arial"/>
        <family val="2"/>
        <charset val="204"/>
      </rPr>
      <t xml:space="preserve">Организация (ОСНО) производит электрооборудование. На основе общедоступных критериев самостоятельной оценки рисков для налогоплательщика, используемых налоговыми органами в процессе отбора объектов для проведения выездных налоговых проверок, оцените риск назначения выездной налоговой проверки по показателям налоговой нагрузки, рентабельности продаж, доли налоговых вычетов по НДС. </t>
    </r>
    <r>
      <rPr>
        <sz val="10"/>
        <color rgb="FF000000"/>
        <rFont val="Arial"/>
      </rPr>
      <t>Данные об организации (за 2021 год):</t>
    </r>
  </si>
  <si>
    <t>- выручка от реализации – 177 млн руб. (с НДС – 20%);</t>
  </si>
  <si>
    <t>- себестоимость реализованной продукции, коммерческие и управленческие расходы – 119 млн руб.;</t>
  </si>
  <si>
    <t>- НДС, предъявленный к вычету – 23 млн руб.</t>
  </si>
  <si>
    <t>- сумма уплаченных налогов и сборов за налоговый период – 18 млн руб.</t>
  </si>
  <si>
    <t>Прибыль от продаж</t>
  </si>
  <si>
    <t>НДС нач</t>
  </si>
  <si>
    <t>Рент прод по 333</t>
  </si>
  <si>
    <t>Нал нагрузка по 333</t>
  </si>
  <si>
    <t>Доля выч по НДС</t>
  </si>
  <si>
    <t>по 333</t>
  </si>
  <si>
    <r>
      <t>1.</t>
    </r>
    <r>
      <rPr>
        <sz val="10"/>
        <color theme="1"/>
        <rFont val="Arial"/>
        <family val="2"/>
        <charset val="204"/>
      </rPr>
      <t xml:space="preserve"> Организация рассматривает два варианта проведения налоговой оптимизации: А и В. Сумма налогов к уплате составляет 300 тыс. руб. </t>
    </r>
  </si>
  <si>
    <t>При применении варианта А она может быть снижена до 280 тыс. руб., по варианту В – до 250 тыс. руб. Вероятность неблагоприятного исхода по варианту А – 13%, по варианту В – 15%.</t>
  </si>
  <si>
    <t>Сравните варианты с точки зрения доходности и риска применения налоговой оптимизации, сформулировав окончательное решение на основании сопоставления значений коэффициентов вариации.</t>
  </si>
  <si>
    <t>А</t>
  </si>
  <si>
    <t>В</t>
  </si>
  <si>
    <t>Налоги к уплате</t>
  </si>
  <si>
    <t>Налоги после изм пар налогообл</t>
  </si>
  <si>
    <t>Вер неблагопр исхода</t>
  </si>
  <si>
    <t>Вер благопр исх</t>
  </si>
  <si>
    <t>доходности</t>
  </si>
  <si>
    <t>риск</t>
  </si>
  <si>
    <t>вариация</t>
  </si>
  <si>
    <r>
      <t>2.</t>
    </r>
    <r>
      <rPr>
        <sz val="10"/>
        <color theme="1"/>
        <rFont val="Arial"/>
        <family val="2"/>
        <charset val="204"/>
      </rPr>
      <t xml:space="preserve"> Дайте оценку динамики абсолютной величины и уровня текущих затрат, в том числе их переменной и постоянной части. Рассчитайте сумму маржинального дохода, критического объема продаж, а также показатели операционного рычага.                                                                                                                                                                           </t>
    </r>
  </si>
  <si>
    <t>Показатели</t>
  </si>
  <si>
    <t>Текущие затраты</t>
  </si>
  <si>
    <t>Рентабельность</t>
  </si>
  <si>
    <t>Точка безубыточности</t>
  </si>
  <si>
    <t>Запас фин прочности</t>
  </si>
  <si>
    <t>Запас фин прочности в проц</t>
  </si>
  <si>
    <t>объём пост</t>
  </si>
  <si>
    <t>цена пост</t>
  </si>
  <si>
    <t>темп изменения прибыли:</t>
  </si>
  <si>
    <t>Маржа GM</t>
  </si>
  <si>
    <t>Прибыль GI</t>
  </si>
  <si>
    <t>Объем продукции S</t>
  </si>
  <si>
    <t>в т.ч. Переменные VC</t>
  </si>
  <si>
    <t>постоянные затраты FC</t>
  </si>
  <si>
    <t>Опер рычаг (объём пост) Olv=const(p)=S/GI</t>
  </si>
  <si>
    <t>Опер рычаг (цена пост) Olp=const(v)=GM/GM</t>
  </si>
  <si>
    <t>цена увел 20%</t>
  </si>
  <si>
    <t>цена уменьш 20%</t>
  </si>
  <si>
    <t>объём увел 20%</t>
  </si>
  <si>
    <t>объём уменьш 20%</t>
  </si>
  <si>
    <r>
      <t>4.</t>
    </r>
    <r>
      <rPr>
        <sz val="10"/>
        <color theme="1"/>
        <rFont val="Arial"/>
        <family val="2"/>
        <charset val="204"/>
      </rPr>
      <t xml:space="preserve"> Используя критерии маржинального анализа (точка безубыточности и запас финансовой прочности), выберите наиболее оптимальный вариант налоговой политики организации. </t>
    </r>
  </si>
  <si>
    <t>Наименование / значение показателя, тыс. руб.</t>
  </si>
  <si>
    <t>2-й вариант</t>
  </si>
  <si>
    <t>1-й вариант</t>
  </si>
  <si>
    <t>Выручка от продаж</t>
  </si>
  <si>
    <t xml:space="preserve">Налоговые издержки организации, </t>
  </si>
  <si>
    <t>в том числе постоянные</t>
  </si>
  <si>
    <t xml:space="preserve">Затраты организации (без налоговых), </t>
  </si>
  <si>
    <t>в том числе переменные</t>
  </si>
  <si>
    <t>переменные нал изд</t>
  </si>
  <si>
    <t>Общие Переменные VC</t>
  </si>
  <si>
    <t>Общие постоянные затраты FC</t>
  </si>
  <si>
    <r>
      <t>1.</t>
    </r>
    <r>
      <rPr>
        <sz val="10"/>
        <color theme="1"/>
        <rFont val="Arial"/>
        <family val="2"/>
        <charset val="204"/>
      </rPr>
      <t xml:space="preserve"> Для финансирования проекта требуется 90 000 тыс. руб. В результате его реализации организация предполагает получить прибыль в сумме 20 000 тыс. руб. Менеджером рассматриваются два варианта финансирования:</t>
    </r>
  </si>
  <si>
    <t>Собственные средства</t>
  </si>
  <si>
    <t>кредит</t>
  </si>
  <si>
    <t>заем</t>
  </si>
  <si>
    <t>Капитал:</t>
  </si>
  <si>
    <t>- собственный</t>
  </si>
  <si>
    <t>Проценты по кредиту (займу), в т.ч. для нормируемых:</t>
  </si>
  <si>
    <t>Рентабельность собственного капитала = Чистая прибыль/Собственный капитал*100</t>
  </si>
  <si>
    <t xml:space="preserve">Эффект финансового рычага </t>
  </si>
  <si>
    <r>
      <t>ЭФР = (1-НП) х (ЭР-СРСП</t>
    </r>
    <r>
      <rPr>
        <b/>
        <i/>
        <vertAlign val="subscript"/>
        <sz val="10"/>
        <color theme="1"/>
        <rFont val="Arial"/>
      </rPr>
      <t>1</t>
    </r>
    <r>
      <rPr>
        <b/>
        <i/>
        <sz val="10"/>
        <color theme="1"/>
        <rFont val="Arial"/>
      </rPr>
      <t>) х (ЗС/СС) – СРСП</t>
    </r>
    <r>
      <rPr>
        <b/>
        <i/>
        <vertAlign val="subscript"/>
        <sz val="10"/>
        <color theme="1"/>
        <rFont val="Arial"/>
      </rPr>
      <t>2</t>
    </r>
    <r>
      <rPr>
        <b/>
        <i/>
        <sz val="10"/>
        <color theme="1"/>
        <rFont val="Arial"/>
      </rPr>
      <t xml:space="preserve"> х (ЗС/СС)</t>
    </r>
  </si>
  <si>
    <t>Экономическая рентабельность (ЭР)%=EBIT/Капитал*100</t>
  </si>
  <si>
    <t xml:space="preserve"> заемный под 20% годовых</t>
  </si>
  <si>
    <t>в пределах (ключевой ставки ЦБ * 1,8)</t>
  </si>
  <si>
    <t>свыше (ключевой ставки ЦБ * 1,8)</t>
  </si>
  <si>
    <t>СРСП1</t>
  </si>
  <si>
    <t>СРСП2</t>
  </si>
  <si>
    <t xml:space="preserve">     </t>
  </si>
  <si>
    <r>
      <t xml:space="preserve">3. </t>
    </r>
    <r>
      <rPr>
        <sz val="10"/>
        <color theme="1"/>
        <rFont val="Arial"/>
        <family val="2"/>
        <charset val="204"/>
      </rPr>
      <t xml:space="preserve">По исходным данным оцените, у какой организации выше сила воздействия операционного рычага и эффект финансового рычага.  Расчеты произведите с учетом налогового корректора. </t>
    </r>
  </si>
  <si>
    <t>Организации</t>
  </si>
  <si>
    <t>Б</t>
  </si>
  <si>
    <t>Объем продаж, руб.</t>
  </si>
  <si>
    <t>Переменные затраты, руб.</t>
  </si>
  <si>
    <t>Постоянные затраты, руб.</t>
  </si>
  <si>
    <t>Рентабельность активов, %</t>
  </si>
  <si>
    <t>Годовая ставка за кредит, %</t>
  </si>
  <si>
    <t>Коэффициент соотношения   заемного и собственного капитала</t>
  </si>
  <si>
    <t xml:space="preserve">      </t>
  </si>
  <si>
    <t>Рентабельность  %</t>
  </si>
  <si>
    <t>Опер рычаг (цена пост) Olp=const(v)=GM/GI</t>
  </si>
  <si>
    <r>
      <t>8</t>
    </r>
    <r>
      <rPr>
        <sz val="10"/>
        <color theme="1"/>
        <rFont val="Arial"/>
        <family val="2"/>
        <charset val="204"/>
      </rPr>
      <t>. По итогам II квартала 2020 г. сумма НДС, исчисленного к уплате, составила  21 000 000 руб. Согласно п. 1 ст. 174 НК РФ налог уплачивается равными долями не позднее 25 числа каждого из трех месяцев, следующих за истекшим налоговым периодом.</t>
    </r>
  </si>
  <si>
    <t>Оцените ежемесячный эффект от использования возможности отсрочить платеж по НДС в условиях 10% инфляции (инфляция годовая).</t>
  </si>
  <si>
    <t>Платёж по НДС</t>
  </si>
  <si>
    <t>частич платёж</t>
  </si>
  <si>
    <t>Коэфф диск</t>
  </si>
  <si>
    <t>Диск CF</t>
  </si>
  <si>
    <t>Эффект диск от расср</t>
  </si>
  <si>
    <t>NPV</t>
  </si>
  <si>
    <r>
      <t>1.</t>
    </r>
    <r>
      <rPr>
        <b/>
        <sz val="7"/>
        <color theme="1"/>
        <rFont val="Times New Roman"/>
      </rPr>
      <t xml:space="preserve">    </t>
    </r>
    <r>
      <rPr>
        <sz val="11"/>
        <color theme="1"/>
        <rFont val="Times New Roman"/>
      </rPr>
      <t>Сравните цену различных источников капитала и дайте предложения по оптимизации его структуры.</t>
    </r>
  </si>
  <si>
    <t>Руб.</t>
  </si>
  <si>
    <t>Величина уставного капитала</t>
  </si>
  <si>
    <t>200 000</t>
  </si>
  <si>
    <t>Прочие виды собственного капитала</t>
  </si>
  <si>
    <t>600 000</t>
  </si>
  <si>
    <t>Заемный капитал (годовой кредит + кредиторская задолженность)</t>
  </si>
  <si>
    <t>100 000 + 70 000</t>
  </si>
  <si>
    <t>Издержки по обслуживанию капитала</t>
  </si>
  <si>
    <t>дивиденды</t>
  </si>
  <si>
    <t>21 000</t>
  </si>
  <si>
    <t>80 000</t>
  </si>
  <si>
    <t>проценты за кредит из расчета 12% годовых (с начислением</t>
  </si>
  <si>
    <t>1 раз в год; кредит использовался на финансирование затрат, не принимаемых в целях налогообложения прибыли)</t>
  </si>
  <si>
    <t>Значение</t>
  </si>
  <si>
    <t>Доля*Цену</t>
  </si>
  <si>
    <t>Доля   d</t>
  </si>
  <si>
    <t>Цена p</t>
  </si>
  <si>
    <t>Издержки</t>
  </si>
  <si>
    <t>Итого собственного капитала</t>
  </si>
  <si>
    <t xml:space="preserve"> Кредит</t>
  </si>
  <si>
    <t>Кредиторская задолженность</t>
  </si>
  <si>
    <t>Итого заёмного капитала</t>
  </si>
  <si>
    <t>Пассив</t>
  </si>
  <si>
    <r>
      <t xml:space="preserve">           К</t>
    </r>
    <r>
      <rPr>
        <b/>
        <vertAlign val="subscript"/>
        <sz val="10"/>
        <color theme="1"/>
        <rFont val="Arial"/>
      </rPr>
      <t>ср</t>
    </r>
  </si>
  <si>
    <r>
      <t>Ц</t>
    </r>
    <r>
      <rPr>
        <b/>
        <vertAlign val="subscript"/>
        <sz val="10"/>
        <color theme="1"/>
        <rFont val="Arial"/>
      </rPr>
      <t>кап</t>
    </r>
    <r>
      <rPr>
        <b/>
        <sz val="10"/>
        <color theme="1"/>
        <rFont val="Arial"/>
        <family val="2"/>
        <charset val="204"/>
      </rPr>
      <t xml:space="preserve"> = </t>
    </r>
    <r>
      <rPr>
        <b/>
        <u/>
        <sz val="10"/>
        <color theme="1"/>
        <rFont val="Arial"/>
      </rPr>
      <t>ИО</t>
    </r>
    <r>
      <rPr>
        <b/>
        <u/>
        <vertAlign val="subscript"/>
        <sz val="10"/>
        <color theme="1"/>
        <rFont val="Arial"/>
      </rPr>
      <t>кап</t>
    </r>
    <r>
      <rPr>
        <b/>
        <u/>
        <sz val="10"/>
        <color theme="1"/>
        <rFont val="Arial"/>
      </rPr>
      <t xml:space="preserve">  </t>
    </r>
    <r>
      <rPr>
        <b/>
        <sz val="10"/>
        <color theme="1"/>
        <rFont val="Arial"/>
        <family val="2"/>
        <charset val="204"/>
      </rPr>
      <t xml:space="preserve">х 100%                                                                                                                                   </t>
    </r>
  </si>
  <si>
    <t>WACC п</t>
  </si>
  <si>
    <t>WACC ск</t>
  </si>
  <si>
    <t>WACC зк</t>
  </si>
  <si>
    <t>Проведите факторный анализ изменения суммы исчисленного НДС в данной ситуации (за год).</t>
  </si>
  <si>
    <r>
      <rPr>
        <b/>
        <sz val="7"/>
        <color theme="1"/>
        <rFont val="Times New Roman"/>
      </rPr>
      <t xml:space="preserve">2    </t>
    </r>
    <r>
      <rPr>
        <sz val="11"/>
        <color theme="1"/>
        <rFont val="Times New Roman"/>
      </rPr>
      <t>Торговый центр с 1 января повысил арендную плату за 1 кв.м. офиса в месяц на 20% и сдал в аренду новый офис площадью 200 кв.м. Площадь офисов, сданных в аренду в прошлом году, составила 5000 кв.м., ежемесячная арендная плата – 1000 руб. за 1 кв.м. (с НДС 20%).</t>
    </r>
  </si>
  <si>
    <t>Пред пер</t>
  </si>
  <si>
    <t>отч пер</t>
  </si>
  <si>
    <t>Измен</t>
  </si>
  <si>
    <t>Цена (м)</t>
  </si>
  <si>
    <t>Инфляция 20 %</t>
  </si>
  <si>
    <t>Объем</t>
  </si>
  <si>
    <t>изм выр по причине инфляции</t>
  </si>
  <si>
    <t>изм выр по причине объма (площадей)</t>
  </si>
  <si>
    <t>НДС в выр</t>
  </si>
  <si>
    <t>изм  НДС по причине инфляции</t>
  </si>
  <si>
    <t>изм НДС по причине объма (площадей)</t>
  </si>
  <si>
    <r>
      <rPr>
        <b/>
        <sz val="7"/>
        <color theme="1"/>
        <rFont val="Times New Roman"/>
      </rPr>
      <t xml:space="preserve">3   </t>
    </r>
    <r>
      <rPr>
        <sz val="11"/>
        <color theme="1"/>
        <rFont val="Times New Roman"/>
      </rPr>
      <t>Основываясь на исходных данных и используя факторный метод и индекс цен, проанализируйте влияние разных факторов на общую сумму НДС, исчисленного по ставке 20%.</t>
    </r>
  </si>
  <si>
    <t>Анализируемый</t>
  </si>
  <si>
    <t>Предыдущий</t>
  </si>
  <si>
    <t>Объем реализации (с НДС), тыс. руб.</t>
  </si>
  <si>
    <t>Рост цен в анализируемом периоде</t>
  </si>
  <si>
    <t>-</t>
  </si>
  <si>
    <t xml:space="preserve">изм НДС по причине объма </t>
  </si>
  <si>
    <t xml:space="preserve">изм выр по причине объма </t>
  </si>
  <si>
    <r>
      <t>1.</t>
    </r>
    <r>
      <rPr>
        <b/>
        <sz val="7"/>
        <color theme="1"/>
        <rFont val="Times New Roman"/>
      </rPr>
      <t xml:space="preserve">       </t>
    </r>
    <r>
      <rPr>
        <sz val="11"/>
        <color theme="1"/>
        <rFont val="Times New Roman"/>
      </rPr>
      <t>По состоянию на 31 декабря 2021 года Организация имеет:</t>
    </r>
  </si>
  <si>
    <r>
      <t xml:space="preserve">- </t>
    </r>
    <r>
      <rPr>
        <sz val="11"/>
        <color theme="1"/>
        <rFont val="Times New Roman"/>
      </rPr>
      <t>собственные оборотные средства - 10 000 тыс. руб.;</t>
    </r>
  </si>
  <si>
    <r>
      <t>-</t>
    </r>
    <r>
      <rPr>
        <sz val="7"/>
        <color theme="1"/>
        <rFont val="Times New Roman"/>
      </rPr>
      <t xml:space="preserve">   </t>
    </r>
    <r>
      <rPr>
        <sz val="11"/>
        <color theme="1"/>
        <rFont val="Times New Roman"/>
      </rPr>
      <t>краткосрочные кредиты и займы - 2000 тыс. руб.;</t>
    </r>
  </si>
  <si>
    <r>
      <t>-</t>
    </r>
    <r>
      <rPr>
        <sz val="7"/>
        <color theme="1"/>
        <rFont val="Times New Roman"/>
      </rPr>
      <t xml:space="preserve">   </t>
    </r>
    <r>
      <rPr>
        <sz val="11"/>
        <color theme="1"/>
        <rFont val="Times New Roman"/>
      </rPr>
      <t>кредиторскую задолженность перед поставщиками и подрядчиками - 3000 тыс. руб.;</t>
    </r>
  </si>
  <si>
    <r>
      <t>-</t>
    </r>
    <r>
      <rPr>
        <sz val="7"/>
        <color theme="1"/>
        <rFont val="Times New Roman"/>
      </rPr>
      <t xml:space="preserve">   </t>
    </r>
    <r>
      <rPr>
        <sz val="11"/>
        <color theme="1"/>
        <rFont val="Times New Roman"/>
      </rPr>
      <t>запасы (МЗ) – 11 500 тыс. руб.</t>
    </r>
  </si>
  <si>
    <t>Определите трехмерный S-показатель финансовой устойчивости организации. Оцените привлекательность организации для кредиторов, используя коэффициент покрытия запасов.</t>
  </si>
  <si>
    <t>S (   ,  ,  )</t>
  </si>
  <si>
    <t>S (   0, 0 ,1  )</t>
  </si>
  <si>
    <t xml:space="preserve">Кпокр = СОС / МЗ </t>
  </si>
  <si>
    <r>
      <t>1.</t>
    </r>
    <r>
      <rPr>
        <b/>
        <sz val="7"/>
        <color theme="1"/>
        <rFont val="Times New Roman"/>
      </rPr>
      <t xml:space="preserve">    </t>
    </r>
    <r>
      <rPr>
        <sz val="11"/>
        <color theme="1"/>
        <rFont val="Times New Roman"/>
      </rPr>
      <t>Сопоставьте два варианта мероприятий по налоговому планированию на основе оценки их экономического эффекта и эффективности с точки зрения связанных с ними затрат:</t>
    </r>
  </si>
  <si>
    <t>I вариант</t>
  </si>
  <si>
    <t>II вариант</t>
  </si>
  <si>
    <t>Налоговые издержки</t>
  </si>
  <si>
    <t>Затраты, связанные с проведением мероприятий налогового планир</t>
  </si>
  <si>
    <t>Возможное снижение по результатам мероприятий налогового планир</t>
  </si>
  <si>
    <t>Налоги после нал планир (изм пар налогообл)</t>
  </si>
  <si>
    <r>
      <t>1.</t>
    </r>
    <r>
      <rPr>
        <b/>
        <sz val="7"/>
        <color theme="1"/>
        <rFont val="Times New Roman"/>
      </rPr>
      <t xml:space="preserve">    </t>
    </r>
    <r>
      <rPr>
        <sz val="11"/>
        <color theme="1"/>
        <rFont val="Times New Roman"/>
      </rPr>
      <t>Организация рассматривает два варианта налогового планирования. Сумма налогов к уплате составляет 194 000 руб. При применении варианта А она может быть снижена до 182 000 руб., по варианту В – до 170 000 руб. Вероятность неблагоприятного исхода по варианту А – 12%, по варианту В – 36%.</t>
    </r>
  </si>
  <si>
    <t>доходность измен пар налогообл</t>
  </si>
  <si>
    <r>
      <t>1.</t>
    </r>
    <r>
      <rPr>
        <b/>
        <sz val="7"/>
        <color theme="1"/>
        <rFont val="Times New Roman"/>
      </rPr>
      <t xml:space="preserve">    </t>
    </r>
    <r>
      <rPr>
        <sz val="11"/>
        <color theme="1"/>
        <rFont val="Times New Roman"/>
      </rPr>
      <t>На основе представленных данных определите, у какой из двух компаний выше запас финансовой прочности.</t>
    </r>
  </si>
  <si>
    <t>Наименование / значение показателя, тыс.</t>
  </si>
  <si>
    <t>руб.</t>
  </si>
  <si>
    <t>постоянные</t>
  </si>
  <si>
    <t>переменные</t>
  </si>
  <si>
    <t xml:space="preserve">А </t>
  </si>
  <si>
    <t>Общие издержки (без налоговых), в том числе</t>
  </si>
  <si>
    <t>Налоговые издержки организации, в том числе</t>
  </si>
  <si>
    <r>
      <t>1.</t>
    </r>
    <r>
      <rPr>
        <b/>
        <sz val="7"/>
        <color theme="1"/>
        <rFont val="Times New Roman"/>
      </rPr>
      <t xml:space="preserve">    </t>
    </r>
    <r>
      <rPr>
        <sz val="11"/>
        <color theme="1"/>
        <rFont val="Times New Roman"/>
      </rPr>
      <t>Сумма налогов, исчисленных организацией в текущем году, составила 780 900 руб., в том числе налогов, относимых на расходы, - 310 800 руб. В предыдущем году сумма начисленных налогов составляла 475 800 руб., в том числе налогов, относимых на расходы, - 290 800 руб.</t>
    </r>
  </si>
  <si>
    <t>Проанализируйте показатели структуры, динамики и структурной динамики по абсолютным показателям налогообложения.</t>
  </si>
  <si>
    <t>Тек пер</t>
  </si>
  <si>
    <t>Отн изм</t>
  </si>
  <si>
    <t>Уд вес пред</t>
  </si>
  <si>
    <t>Уд вес тек пер</t>
  </si>
  <si>
    <t>Изм уд весов</t>
  </si>
  <si>
    <t>Cумма налогов в т/ч/</t>
  </si>
  <si>
    <t>Налоги отн на расх</t>
  </si>
  <si>
    <t>Налоги не отн на расх</t>
  </si>
  <si>
    <r>
      <t>1.</t>
    </r>
    <r>
      <rPr>
        <b/>
        <sz val="7"/>
        <color theme="1"/>
        <rFont val="Times New Roman"/>
      </rPr>
      <t xml:space="preserve">    </t>
    </r>
    <r>
      <rPr>
        <sz val="11"/>
        <color theme="1"/>
        <rFont val="Times New Roman"/>
      </rPr>
      <t>Исходные данные о деятельности организации представлены в таблице на основании бухгалтерского баланса, тыс. руб.:</t>
    </r>
  </si>
  <si>
    <t>Рассчитайте коэффициент текущей ликвидности на отчетную дату.</t>
  </si>
  <si>
    <t>Как изменятся суммы по статьям баланса и значение коэффициента текущей ликвидности в результате продажи продукции (из состава запасов) за 600 тыс. руб. (с НДС – 20%). Стоимость проданных запасов в учёте 500 тыс. руб. Проданная продукция не оплачена. Сделайте вывод об изменении платежеспособности организации на основании динамики коэффициента текущей ликвидности.</t>
  </si>
  <si>
    <t>Актив (показатель) Сумма</t>
  </si>
  <si>
    <t>на</t>
  </si>
  <si>
    <t>отчетную дату</t>
  </si>
  <si>
    <t>Основные средства</t>
  </si>
  <si>
    <t>Дебиторская задолженность</t>
  </si>
  <si>
    <t>БАЛАНС</t>
  </si>
  <si>
    <t>Краткосрочные заемные ср</t>
  </si>
  <si>
    <t>Краткосрочная кредиторская зад</t>
  </si>
  <si>
    <t>Денежные средства и эквив</t>
  </si>
  <si>
    <t>в т.ч. Задолженность по нал</t>
  </si>
  <si>
    <t>после измен</t>
  </si>
  <si>
    <t xml:space="preserve"> (оборотные активы - долгосрочная дебиторская задолженность) / краткосрочные обязательства</t>
  </si>
  <si>
    <t xml:space="preserve"> Коэффициент текущей ликвидности</t>
  </si>
  <si>
    <t>изм</t>
  </si>
  <si>
    <t>Гип иссл - ДЗ-краткосрочная</t>
  </si>
  <si>
    <r>
      <t>1.</t>
    </r>
    <r>
      <rPr>
        <b/>
        <sz val="7"/>
        <color theme="1"/>
        <rFont val="Times New Roman"/>
      </rPr>
      <t xml:space="preserve">         </t>
    </r>
    <r>
      <rPr>
        <sz val="11"/>
        <color theme="1"/>
        <rFont val="Times New Roman"/>
      </rPr>
      <t>Налоговые издержки организации, входящие в состав себестоимости товаров, а также коммерческих и управленческих расходов, связанных с их реализацией, составляли 7 млн руб. За анализируемый период они снизились на 0,6 млн руб. Выручка от продажи товаров за указанный период составила 50 млн руб. (без НДС), себестоимость проданных товаров - 31 млн руб., величина коммерческих и управленческих расходов (без НДС) - 5 млн руб.</t>
    </r>
  </si>
  <si>
    <t>Оцените влияние снижения налоговых издержек на рентабельность продаж.</t>
  </si>
  <si>
    <t>до изм</t>
  </si>
  <si>
    <t>после изм</t>
  </si>
  <si>
    <t>нал изд</t>
  </si>
  <si>
    <t>cебест</t>
  </si>
  <si>
    <t>комм и упр</t>
  </si>
  <si>
    <t>Приб от продаж</t>
  </si>
  <si>
    <t>Рент продаж</t>
  </si>
  <si>
    <t>Факторн ан влиян нал изд на рент прод</t>
  </si>
  <si>
    <r>
      <t>1.</t>
    </r>
    <r>
      <rPr>
        <b/>
        <sz val="7"/>
        <color theme="1"/>
        <rFont val="Times New Roman"/>
      </rPr>
      <t xml:space="preserve">          </t>
    </r>
    <r>
      <rPr>
        <sz val="11"/>
        <color theme="1"/>
        <rFont val="Times New Roman"/>
      </rPr>
      <t>Определите показатели абсолютного и относительного изменения величины налоговых платежей, а также их долю в общей сумме изменений по всем видам платежей. Используйте горизонтальный, вертикальный и факторный методы анализа.</t>
    </r>
  </si>
  <si>
    <t>Исходные данные (в тыс. руб.) представлены в таблице.</t>
  </si>
  <si>
    <t>Значение показателя,</t>
  </si>
  <si>
    <t>предыдущий</t>
  </si>
  <si>
    <t>текущий</t>
  </si>
  <si>
    <t>Оплата труда</t>
  </si>
  <si>
    <t>Расчеты по налогам, сборам, страховым взносам</t>
  </si>
  <si>
    <t>Приобретение объектов основных средств и доходных вложений в</t>
  </si>
  <si>
    <t>материальные ценности и создание нематериальных активов</t>
  </si>
  <si>
    <t>Погашение займов и кредитов (без процентов)</t>
  </si>
  <si>
    <t>Прочие платежи</t>
  </si>
  <si>
    <t>Оплата приобретенных товаров, работ, услуг и иных оборотных актовов</t>
  </si>
  <si>
    <t>отн изм</t>
  </si>
  <si>
    <t>долю в общей сумме изменений по всем видам платежей</t>
  </si>
  <si>
    <r>
      <t>1.</t>
    </r>
    <r>
      <rPr>
        <b/>
        <sz val="7"/>
        <color theme="1"/>
        <rFont val="Times New Roman"/>
      </rPr>
      <t xml:space="preserve">          </t>
    </r>
    <r>
      <rPr>
        <sz val="11"/>
        <color theme="1"/>
        <rFont val="Times New Roman"/>
      </rPr>
      <t>Величина доходов организации, признаваемых в налоговом учете - 60 млн руб. Расходы организации, уменьшающие налоговую базу по налогу на прибыль – 40 млн руб., а после проведения мероприятий налогового планирования они возросли на 5 млн руб. Расходы на проведение этих мероприятий составили 100 тыс. руб. Оценочная величина риска составляет 0,7 млн руб.</t>
    </r>
  </si>
  <si>
    <t>Определите целесообразность мероприятий налогового планирования, используя критерий А.Н. Медведева.</t>
  </si>
  <si>
    <t>Доходы в нал уч</t>
  </si>
  <si>
    <t>Расх в нал уч</t>
  </si>
  <si>
    <t>Расх  на мероприят нал план</t>
  </si>
  <si>
    <t>Риск</t>
  </si>
  <si>
    <t>База по нал на приб</t>
  </si>
  <si>
    <t>Налог на приб</t>
  </si>
  <si>
    <t>Критерий Медведева</t>
  </si>
  <si>
    <t>выполнен</t>
  </si>
  <si>
    <t>Проанализируйте, как наличие долгосрочных обязательств влияет на получение эффекта финансового рычага и величину налога на прибыль у данных организаций.</t>
  </si>
  <si>
    <t>(А)</t>
  </si>
  <si>
    <t>(Б)</t>
  </si>
  <si>
    <t>в т.ч. собственный капитал</t>
  </si>
  <si>
    <t>долгосрочные обязательства (под 14% годовых)</t>
  </si>
  <si>
    <t>Постоянный капитал, всего</t>
  </si>
  <si>
    <t xml:space="preserve">прибыль до выплаты процентов и налогов (EBIT) </t>
  </si>
  <si>
    <t>Займ у взимозав</t>
  </si>
  <si>
    <t>в пределах (ключевой ставки ЦБ * 1,25)</t>
  </si>
  <si>
    <t>свыше (ключевой ставки ЦБ * 1,25)</t>
  </si>
  <si>
    <t>кл ставка</t>
  </si>
  <si>
    <t>коэфф по 269</t>
  </si>
  <si>
    <t>Проанализируйте взаимосвязь показателей темпов роста денежных потоков и налоговых начислений. Определите изменение совокупной налоговой нагрузки.</t>
  </si>
  <si>
    <t>2020 г.</t>
  </si>
  <si>
    <t>2021 г.</t>
  </si>
  <si>
    <t>Поступление денежных средств</t>
  </si>
  <si>
    <t>Расход денежных средств</t>
  </si>
  <si>
    <t>За налоговый период начислено налогов</t>
  </si>
  <si>
    <t>Налог на имущество организаций</t>
  </si>
  <si>
    <t>Страховые взносы</t>
  </si>
  <si>
    <t>Налог на прибыль организаций</t>
  </si>
  <si>
    <t xml:space="preserve">абс изм </t>
  </si>
  <si>
    <t>Налоговый поток</t>
  </si>
  <si>
    <t>Чистый денежный поток</t>
  </si>
  <si>
    <t>Доля налогов в оттоках</t>
  </si>
  <si>
    <t>коэффициент нал нагр на чист приб</t>
  </si>
  <si>
    <t>При помощи методов группировки, горизонтального и вертикального анализа, по представленным в таблице исходным данным, исследуйте структуру пассива баланса организации - налогоплательщика и ответьте на вопрос: каким образом изменится сумма и удельный вес статей, возникающих вследствие налогообложения (каждой и в совокупности) и статей неналогового характера (в целом). Что интересного в сложившейся картине с позиции налогового консультанта?</t>
  </si>
  <si>
    <t>Налоговые пассивы в т.ч</t>
  </si>
  <si>
    <t>Неналоговые пассивы в т.ч</t>
  </si>
  <si>
    <t xml:space="preserve">Краткосрочные </t>
  </si>
  <si>
    <t>Долгосрочные</t>
  </si>
  <si>
    <t>удельн вес 2020</t>
  </si>
  <si>
    <t>удельн вес 2021</t>
  </si>
  <si>
    <t>измен уд весов</t>
  </si>
  <si>
    <t>горизонт анализ</t>
  </si>
  <si>
    <t>вертикальн анализ</t>
  </si>
  <si>
    <t>анализ динамики</t>
  </si>
  <si>
    <t>анализ структуры</t>
  </si>
  <si>
    <t>ан структурной динамики</t>
  </si>
  <si>
    <t xml:space="preserve">Определите суммарное количественное влияние факторов на величину налога на прибыль, рассчитываемого по правилам бухгалтерского и налогового учета.  
Исходные данные представлены в таблице.
</t>
  </si>
  <si>
    <t>ОНО, ОНА, ПНР, ПНД</t>
  </si>
  <si>
    <t>влияние факторов на величину налога на прибыль</t>
  </si>
  <si>
    <t xml:space="preserve">Имеются следующие сведения об организации:
- задолженность перед бюджетом по НДС на начало периода - 145 тыс. руб.;
- выручка от реализации продукции за период - 450 тыс. руб. (с НДС – 20%); 
- НДС по приобретенным ценностям на начало периода - 88 тыс. руб.; 
- приобретены товары на сумму 320 тыс. руб. (с учетом НДС – 20%). 
- уплачен НДС в течение периода - 48 тыс. руб.; 
- сумма НДС, принятая к вычету, – 44 тыс. руб. 
Рассчитайте изменение величины НДС по приобретенным ценностям и остатка кредиторской задолженности перед бюджетом по НДС и оцените их влияние на финансовое состояние организации.
</t>
  </si>
  <si>
    <t>Содерж операции</t>
  </si>
  <si>
    <t>19 (НДС по приобр)</t>
  </si>
  <si>
    <t>Нач ост</t>
  </si>
  <si>
    <t>Кон остаток</t>
  </si>
  <si>
    <t>Абсол измен</t>
  </si>
  <si>
    <t>Отн измен</t>
  </si>
  <si>
    <t>68.2  кредиторская задолженность перед бюджетом по НДС</t>
  </si>
  <si>
    <t>Товары к учёту</t>
  </si>
  <si>
    <t>Выделен НДС с товаров</t>
  </si>
  <si>
    <t xml:space="preserve">вычет НДС с товаров </t>
  </si>
  <si>
    <t>Получены ден средства от реал тов</t>
  </si>
  <si>
    <t>Отражена выручка от реал тов</t>
  </si>
  <si>
    <t xml:space="preserve">Начисл НДС </t>
  </si>
  <si>
    <t>Уплачен НДС</t>
  </si>
  <si>
    <t>Списана себест товаров</t>
  </si>
  <si>
    <t>Сформ фин рез</t>
  </si>
  <si>
    <t>Нчисл нал на приб</t>
  </si>
  <si>
    <t xml:space="preserve">Проанализируйте количественное влияние совокупности факторов на изменение валовой прибыли, прибыли от продаж, прибыли до налогообложения и чистой прибыли на основании данных Отчета о финансовых результатах. </t>
  </si>
  <si>
    <t>Базовый год, тыс. руб.</t>
  </si>
  <si>
    <t>Отчетный год,</t>
  </si>
  <si>
    <t>тыс. руб.</t>
  </si>
  <si>
    <t>Управленческие, коммерческие расходы</t>
  </si>
  <si>
    <t>Сальдо прочих доходов и расходов</t>
  </si>
  <si>
    <t>Отложенные налоговые активы</t>
  </si>
  <si>
    <t>Отложенные налоговые обязательства</t>
  </si>
  <si>
    <t>Постоянные налоговые обязательства (активы), справочно</t>
  </si>
  <si>
    <t>Прибыль (убыток) до налогообложения</t>
  </si>
  <si>
    <t>Налог на прибыль &lt;7&gt;</t>
  </si>
  <si>
    <t>в т.ч.</t>
  </si>
  <si>
    <t>текущий налог на прибыль</t>
  </si>
  <si>
    <t>отложенный налог на прибыль</t>
  </si>
  <si>
    <t>Чистая прибыль (убыток)</t>
  </si>
  <si>
    <t xml:space="preserve">Абс изм </t>
  </si>
  <si>
    <t>Относит изм</t>
  </si>
  <si>
    <t>Валовая прибыль</t>
  </si>
  <si>
    <t>Рентабельн продаж по ЧП</t>
  </si>
  <si>
    <t>Используя приведенные ниже данные, определите величину собственного оборотного капитала и его долю в финансировании оборотных активов. Дайте оценку изменениям.</t>
  </si>
  <si>
    <t>абсол  изм</t>
  </si>
  <si>
    <t>Актив</t>
  </si>
  <si>
    <t>Собственный оборотный  капитал</t>
  </si>
  <si>
    <t>Коэффициент обеспеченности оборотных активов собственным оборотным капиталом</t>
  </si>
  <si>
    <t>Дайте оценку динамике структуры текущих активов и рассчитайте финансовые коэффициенты ликвидности исходя из данных, представленных в таблице. Укажите, повлияют ли происшедшие изменения, в том числе связанные с суммой НДС, на своевременность налоговых платежей:</t>
  </si>
  <si>
    <t>Оборотные активы (расч)</t>
  </si>
  <si>
    <t xml:space="preserve">Краткосрочная дебиторская            задолженность покупателей            </t>
  </si>
  <si>
    <t>абсол изм</t>
  </si>
  <si>
    <t>относит изм</t>
  </si>
  <si>
    <t>Гипотеза - наличие долгосрочной деб задолж</t>
  </si>
  <si>
    <t>.Коэффициент критической ликвидности (с уч сомнит деб задолж)</t>
  </si>
  <si>
    <t xml:space="preserve"> Коэффициент текущей ликвидности (c  уч сомнит деб задолж и нелив запасов)</t>
  </si>
  <si>
    <t>Проанализируйте финансовую устойчивость организации-налогоплательщика, опираясь на данные, приведенные в таблице, и оцените ее способность отвечать по своим налоговым обязательствам, наряду с другими.</t>
  </si>
  <si>
    <t>S ( , ,  ,)</t>
  </si>
  <si>
    <t>Трехкомп показат</t>
  </si>
  <si>
    <t>S ( 0, 0,  0,)</t>
  </si>
  <si>
    <t xml:space="preserve">коэффициент покрытия запасов </t>
  </si>
  <si>
    <t>Имеются следующие сведения о деятельности организации:</t>
  </si>
  <si>
    <t>Коэффициент срочной ликвидности ( критич )</t>
  </si>
  <si>
    <t>Гипотеза - долгосрочн дебит задолж =0</t>
  </si>
  <si>
    <t>(оборотные активы -запасы) / краткосрочные обязательства</t>
  </si>
  <si>
    <t>32500-Запасы=0,75*26000</t>
  </si>
  <si>
    <t>Запасы=32500-0,75*26000</t>
  </si>
  <si>
    <t>Рассчитайте абсолютный показатель текущей ликвидности на начало и конец периода, проанализируйте его уровень и динамику. Сделайте вывод о текущей платежеспособности организации, в том числе по налоговым расчетам с бюджетом.</t>
  </si>
  <si>
    <t>Дебиторская задолженность, платежи по которой ожидаются в течение 12 месяцев после отчетной даты</t>
  </si>
  <si>
    <t>Задолженность учредителей по взносам в уставный капитал</t>
  </si>
  <si>
    <t>Краткосрочные финансовые вложения</t>
  </si>
  <si>
    <t>Денежные средства</t>
  </si>
  <si>
    <t>Займы и кредиты (краткосрочные)</t>
  </si>
  <si>
    <t>Кредиторская задолженность(краткосрочная)</t>
  </si>
  <si>
    <t>А1 наиболее ликвидные</t>
  </si>
  <si>
    <t>денежные средства и краткосрочные финансовые вложения</t>
  </si>
  <si>
    <t>А2 быстрореализуемые активы</t>
  </si>
  <si>
    <t>краткосрочная дебиторская задолженность и прочие оборотные активы</t>
  </si>
  <si>
    <t>П1 наиболее срочные обязательства</t>
  </si>
  <si>
    <t>кредиторская задолженность (перед поставщиками, персоналом, по налогам)</t>
  </si>
  <si>
    <t>П2 краткосрочные обязательства</t>
  </si>
  <si>
    <t>краткосрочные кредиты, прочие краткосрочные обязательства</t>
  </si>
  <si>
    <t>ТЛ = (А1 + А2) &gt; (П1 + П2) абсол показ тек ликв</t>
  </si>
  <si>
    <t>ухудшился</t>
  </si>
  <si>
    <t xml:space="preserve">Оцените долю чистой налоговой задолженности перед государством в составе капитала организации. Для чего производится оценка данного показателя? </t>
  </si>
  <si>
    <t>Значение показателя, тыс. руб.</t>
  </si>
  <si>
    <t>Кредиторская задолженность по уплате налогов</t>
  </si>
  <si>
    <t>Капитал организации (валюта баланса)</t>
  </si>
  <si>
    <t>Чистая налог задолж</t>
  </si>
  <si>
    <t xml:space="preserve">доля чистой налоговой задолженности   в капитале </t>
  </si>
  <si>
    <t>Оцените абсолютное и относительное изменение доли собственного капитала, идущего на финансирование текущей деятельности, за год, рассчитав коэффициента маневренности. Разъясните экономический смысл показателя.</t>
  </si>
  <si>
    <t>Актив, тыс. руб.</t>
  </si>
  <si>
    <t>Пассив, тыс. руб.</t>
  </si>
  <si>
    <t>Уставный капитал</t>
  </si>
  <si>
    <t>Нераспределенная прибыль</t>
  </si>
  <si>
    <t>Коэффициент маневренности собственного капитала</t>
  </si>
  <si>
    <t>собственный оборотный капитал / (собственный капитал + долгосрочные обязательства + доходы будущих периодов)</t>
  </si>
  <si>
    <t>больше 0,2</t>
  </si>
  <si>
    <t>Собственный оборотный капитал (СОС)</t>
  </si>
  <si>
    <t>собственный капитал + долгосрочные обязательства + доходы будущих периодов - внеоборотные активы</t>
  </si>
  <si>
    <t>больше 0</t>
  </si>
  <si>
    <t>Имеются следующие показатели деятельности организации в отчётном периоде. Временных разниц нет: Проанализируйте, какое влияние на величину показателя рентабельности капитала окажет изменение величины налога на прибыль.</t>
  </si>
  <si>
    <t>Рентаб капитала=ЧП/капитал</t>
  </si>
  <si>
    <t>Организация применила налоговое планирование по НДС и налогу на имущество организаций. Оцените его влияние на динамику показателя рентабельности продаж, изменения уровня налоговых издержек (входящих в состав себестоимости проданных товаров, а также коммерческих и управленческих расходов, связанных с их реализацией) на основании исходных данных представленных в таблице.</t>
  </si>
  <si>
    <t>Определите продолжительность операционного и финансового циклов за отчетный год по следующим данным: Какие выводы можно сделать, если в предыдущем году с момента возникновения до момента погашения задолженности поставщикам в среднем проходило 46 дней, а длительность операционного цикла составляла 102 день, в том числе: период хранения материалов - 64 дня, а средний срок погашения дебиторской задолженности - 44 дня.</t>
  </si>
  <si>
    <t>365 х краткосрочная дебиторская задолженность (среднее) / выручка</t>
  </si>
  <si>
    <t>365 х запасы (среднее) / закупки у поставщ</t>
  </si>
  <si>
    <t>365 х кредиторская задолженность поставщикам (среднее) / выручка</t>
  </si>
  <si>
    <t>.Оборачиваемость кредиторской задолженности поставщикам</t>
  </si>
  <si>
    <t>оборачиваемость запасов + оборачиваемость дебиторской задолженности</t>
  </si>
  <si>
    <t>оборачиваемость запасов + оборачиваемость дебиторской задолженности - оборачиваемость краткосрочной кредиторской задолженности</t>
  </si>
  <si>
    <t>Длительность операционного цикла</t>
  </si>
  <si>
    <t>Длительность финансового цикла</t>
  </si>
  <si>
    <t>Оборачиваемость  дебиторской задолженности</t>
  </si>
  <si>
    <t>Оборачиваемость запасов</t>
  </si>
  <si>
    <t>При помощи методов группировки, горизонтального и вертикального анализа, по представленным в таблице исходным данным, исследуйте структуру пассива баланса организации - налогоплательщика и ответьте на вопрос: каким образом изменится сумма и удельный вес статей, возникающих вследствие налогообложения (каждой и в совокупности) и статей неналогового характера (в целом). Оцените платёжеспособность налогоплательщика. Что интересного в сложившейся картине с позиции налогового консультанта?</t>
  </si>
  <si>
    <t>Группировка</t>
  </si>
  <si>
    <t>Налоговые пассивы в т.ч.</t>
  </si>
  <si>
    <t>числе КЗ перед государством по налогам</t>
  </si>
  <si>
    <t>неналоговые пассивы в т.ч.</t>
  </si>
  <si>
    <t xml:space="preserve">Долгосрочные заемные пассивы </t>
  </si>
  <si>
    <t xml:space="preserve">Краткосрочные заемные пассивы </t>
  </si>
  <si>
    <t>имен уд весов</t>
  </si>
  <si>
    <t>горизонтальн анализ</t>
  </si>
  <si>
    <t>вертикальный анализ</t>
  </si>
  <si>
    <t>структурная диамика</t>
  </si>
  <si>
    <r>
      <t>2.</t>
    </r>
    <r>
      <rPr>
        <sz val="10"/>
        <color theme="1"/>
        <rFont val="Arial"/>
        <family val="2"/>
        <charset val="204"/>
      </rPr>
      <t xml:space="preserve"> Определите суммарное количественное влияние факторов на величину налога на прибыль, рассчитываемого по правилам бухгалтерского и налогового учета.  </t>
    </r>
  </si>
  <si>
    <t>Исходные данные представлены в таблице.</t>
  </si>
  <si>
    <t xml:space="preserve"> </t>
  </si>
  <si>
    <r>
      <t xml:space="preserve">3. </t>
    </r>
    <r>
      <rPr>
        <sz val="10"/>
        <color theme="1"/>
        <rFont val="Arial"/>
        <family val="2"/>
        <charset val="204"/>
      </rPr>
      <t>Имеются следующие сведения об организации:</t>
    </r>
  </si>
  <si>
    <t>- задолженность перед бюджетом по НДС на начало периода - 145 тыс. руб.;</t>
  </si>
  <si>
    <t xml:space="preserve">- выручка от реализации продукции за период - 450 тыс. руб. (с НДС – 20%); </t>
  </si>
  <si>
    <t xml:space="preserve">- НДС по приобретенным ценностям на начало периода - 88 тыс. руб.; </t>
  </si>
  <si>
    <t xml:space="preserve">- приобретены товары на сумму 320 тыс. руб. (с учетом НДС – 20%). </t>
  </si>
  <si>
    <t xml:space="preserve">- уплачен НДС в течение периода - 48 тыс. руб.; </t>
  </si>
  <si>
    <t xml:space="preserve">- сумма НДС, принятая к вычету, – 44 тыс. руб. </t>
  </si>
  <si>
    <t>Рассчитайте изменение величины НДС по приобретенным ценностям и остатка кредиторской задолженности перед бюджетом по НДС и оцените их влияние на финансовое состояние организации.</t>
  </si>
  <si>
    <t>Содержание операции</t>
  </si>
  <si>
    <t>19 сч НДС по приобр</t>
  </si>
  <si>
    <t xml:space="preserve">68/2 сч  </t>
  </si>
  <si>
    <t>Нач сальное сальдо</t>
  </si>
  <si>
    <t>Кончное сальдо</t>
  </si>
  <si>
    <t>Оплата товара</t>
  </si>
  <si>
    <t>Приняты к учёту товары</t>
  </si>
  <si>
    <t xml:space="preserve">НДС к учёту </t>
  </si>
  <si>
    <t>Отражены вычеты по НДС</t>
  </si>
  <si>
    <t>Получены ДС от реал товаров</t>
  </si>
  <si>
    <t>Начислен НДС</t>
  </si>
  <si>
    <t>Отражён доход от реализации товаров</t>
  </si>
  <si>
    <t>Списана себестоимость товаров</t>
  </si>
  <si>
    <t>Отражён финансовый результат</t>
  </si>
  <si>
    <t>1. Используя приведенные ниже данные, определите величину собственного оборотного капитала и его долю в финансировании оборотных активов. Дайте оценку изменениям</t>
  </si>
  <si>
    <t>собственного оборотного капитала</t>
  </si>
  <si>
    <t>(собственный оборотный капитал) / оборотные активы</t>
  </si>
  <si>
    <t>больше 0,1</t>
  </si>
  <si>
    <r>
      <t>4.</t>
    </r>
    <r>
      <rPr>
        <sz val="10"/>
        <color theme="1"/>
        <rFont val="Arial"/>
        <family val="2"/>
        <charset val="204"/>
      </rPr>
      <t xml:space="preserve"> Проанализируйте финансовую устойчивость организации-налогоплательщика, опираясь на данные, приведенные в таблице, и оцените ее способность отвечать по своим налоговым обязательствам, наряду с другими.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</si>
</sst>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.0%"/>
    <numFmt numFmtId="165" formatCode="0.000"/>
    <numFmt numFmtId="166" formatCode="0.00000"/>
    <numFmt numFmtId="167" formatCode="0.0000"/>
    <numFmt numFmtId="168" formatCode="_-* #,##0\ _₽_-;\-* #,##0\ _₽_-;_-* &quot;-&quot;??\ _₽_-;_-@_-"/>
    <numFmt numFmtId="169" formatCode="#,##0.000"/>
    <numFmt numFmtId="171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9"/>
      <color theme="1"/>
      <name val="Arial"/>
    </font>
    <font>
      <sz val="10"/>
      <color rgb="FF000000"/>
      <name val="Arial"/>
    </font>
    <font>
      <b/>
      <i/>
      <sz val="10"/>
      <color theme="1"/>
      <name val="Arial"/>
    </font>
    <font>
      <b/>
      <i/>
      <vertAlign val="subscript"/>
      <sz val="10"/>
      <color theme="1"/>
      <name val="Arial"/>
    </font>
    <font>
      <sz val="11"/>
      <color theme="1"/>
      <name val="Times New Roman"/>
    </font>
    <font>
      <b/>
      <sz val="11"/>
      <color theme="1"/>
      <name val="Times New Roman"/>
    </font>
    <font>
      <b/>
      <sz val="7"/>
      <color theme="1"/>
      <name val="Times New Roman"/>
    </font>
    <font>
      <sz val="9"/>
      <color theme="1"/>
      <name val="Times New Roman"/>
    </font>
    <font>
      <b/>
      <vertAlign val="subscript"/>
      <sz val="10"/>
      <color theme="1"/>
      <name val="Arial"/>
    </font>
    <font>
      <b/>
      <u/>
      <sz val="10"/>
      <color theme="1"/>
      <name val="Arial"/>
    </font>
    <font>
      <b/>
      <u/>
      <vertAlign val="subscript"/>
      <sz val="10"/>
      <color theme="1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7"/>
      <color theme="1"/>
      <name val="Times New Roman"/>
    </font>
    <font>
      <sz val="16"/>
      <color theme="1"/>
      <name val="Times New Roman"/>
    </font>
    <font>
      <sz val="12"/>
      <color theme="1"/>
      <name val="Times New Roman"/>
    </font>
    <font>
      <i/>
      <sz val="10"/>
      <color rgb="FFFF0000"/>
      <name val="Arial"/>
      <family val="2"/>
      <charset val="204"/>
    </font>
    <font>
      <sz val="11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horizontal="justify" vertical="center" wrapText="1"/>
    </xf>
    <xf numFmtId="0" fontId="0" fillId="2" borderId="1" xfId="0" applyFill="1" applyBorder="1" applyAlignment="1">
      <alignment wrapText="1"/>
    </xf>
    <xf numFmtId="164" fontId="0" fillId="0" borderId="1" xfId="1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2" borderId="1" xfId="1" applyNumberFormat="1" applyFont="1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Fill="1" applyBorder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3" fillId="0" borderId="5" xfId="0" applyFont="1" applyFill="1" applyBorder="1" applyAlignment="1">
      <alignment horizontal="justify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9" xfId="0" applyFill="1" applyBorder="1"/>
    <xf numFmtId="0" fontId="0" fillId="0" borderId="11" xfId="0" applyFill="1" applyBorder="1"/>
    <xf numFmtId="2" fontId="0" fillId="0" borderId="10" xfId="0" applyNumberFormat="1" applyBorder="1"/>
    <xf numFmtId="0" fontId="0" fillId="3" borderId="1" xfId="0" applyFill="1" applyBorder="1"/>
    <xf numFmtId="0" fontId="0" fillId="3" borderId="12" xfId="0" applyFill="1" applyBorder="1"/>
    <xf numFmtId="0" fontId="0" fillId="4" borderId="1" xfId="0" applyFill="1" applyBorder="1"/>
    <xf numFmtId="0" fontId="0" fillId="5" borderId="1" xfId="0" applyFill="1" applyBorder="1"/>
    <xf numFmtId="0" fontId="0" fillId="5" borderId="12" xfId="0" applyFill="1" applyBorder="1"/>
    <xf numFmtId="2" fontId="0" fillId="0" borderId="1" xfId="0" applyNumberFormat="1" applyBorder="1"/>
    <xf numFmtId="2" fontId="0" fillId="2" borderId="1" xfId="0" applyNumberFormat="1" applyFill="1" applyBorder="1"/>
    <xf numFmtId="164" fontId="0" fillId="2" borderId="1" xfId="1" applyNumberFormat="1" applyFont="1" applyFill="1" applyBorder="1"/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165" fontId="0" fillId="0" borderId="1" xfId="0" applyNumberFormat="1" applyBorder="1"/>
    <xf numFmtId="164" fontId="0" fillId="0" borderId="1" xfId="1" applyNumberFormat="1" applyFont="1" applyBorder="1"/>
    <xf numFmtId="0" fontId="4" fillId="6" borderId="4" xfId="0" applyFont="1" applyFill="1" applyBorder="1" applyAlignment="1">
      <alignment horizontal="justify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justify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justify" vertical="center" wrapText="1"/>
    </xf>
    <xf numFmtId="0" fontId="4" fillId="6" borderId="16" xfId="0" applyFont="1" applyFill="1" applyBorder="1" applyAlignment="1">
      <alignment horizontal="justify" vertical="center" wrapText="1"/>
    </xf>
    <xf numFmtId="0" fontId="4" fillId="7" borderId="16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wrapText="1"/>
    </xf>
    <xf numFmtId="0" fontId="3" fillId="0" borderId="15" xfId="0" applyFont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2" fontId="0" fillId="4" borderId="1" xfId="0" applyNumberFormat="1" applyFill="1" applyBorder="1"/>
    <xf numFmtId="165" fontId="0" fillId="4" borderId="1" xfId="0" applyNumberFormat="1" applyFill="1" applyBorder="1"/>
    <xf numFmtId="165" fontId="0" fillId="2" borderId="1" xfId="0" applyNumberFormat="1" applyFill="1" applyBorder="1"/>
    <xf numFmtId="3" fontId="0" fillId="0" borderId="1" xfId="0" applyNumberFormat="1" applyBorder="1"/>
    <xf numFmtId="4" fontId="0" fillId="3" borderId="1" xfId="0" applyNumberFormat="1" applyFill="1" applyBorder="1"/>
    <xf numFmtId="164" fontId="0" fillId="8" borderId="1" xfId="1" applyNumberFormat="1" applyFont="1" applyFill="1" applyBorder="1"/>
    <xf numFmtId="164" fontId="0" fillId="7" borderId="1" xfId="1" applyNumberFormat="1" applyFont="1" applyFill="1" applyBorder="1"/>
    <xf numFmtId="3" fontId="3" fillId="0" borderId="1" xfId="0" applyNumberFormat="1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165" fontId="3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right" vertical="center"/>
    </xf>
    <xf numFmtId="9" fontId="0" fillId="0" borderId="1" xfId="0" applyNumberFormat="1" applyBorder="1"/>
    <xf numFmtId="0" fontId="0" fillId="0" borderId="1" xfId="0" applyFill="1" applyBorder="1" applyAlignment="1">
      <alignment wrapText="1"/>
    </xf>
    <xf numFmtId="10" fontId="0" fillId="0" borderId="1" xfId="1" applyNumberFormat="1" applyFont="1" applyBorder="1"/>
    <xf numFmtId="0" fontId="3" fillId="0" borderId="1" xfId="0" applyFont="1" applyBorder="1" applyAlignment="1">
      <alignment horizontal="justify" vertical="center"/>
    </xf>
    <xf numFmtId="1" fontId="0" fillId="0" borderId="1" xfId="0" applyNumberFormat="1" applyBorder="1"/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0" fillId="0" borderId="0" xfId="0" applyNumberFormat="1" applyBorder="1"/>
    <xf numFmtId="3" fontId="0" fillId="0" borderId="0" xfId="0" applyNumberFormat="1" applyBorder="1"/>
    <xf numFmtId="164" fontId="0" fillId="0" borderId="0" xfId="1" applyNumberFormat="1" applyFont="1" applyBorder="1"/>
    <xf numFmtId="0" fontId="3" fillId="0" borderId="15" xfId="0" applyFont="1" applyBorder="1" applyAlignment="1">
      <alignment horizontal="justify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10" fontId="0" fillId="0" borderId="0" xfId="0" applyNumberFormat="1"/>
    <xf numFmtId="0" fontId="3" fillId="0" borderId="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6" borderId="16" xfId="0" applyFill="1" applyBorder="1" applyAlignment="1">
      <alignment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justify" vertical="center" wrapText="1"/>
    </xf>
    <xf numFmtId="0" fontId="0" fillId="9" borderId="1" xfId="0" applyFill="1" applyBorder="1"/>
    <xf numFmtId="0" fontId="3" fillId="0" borderId="22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166" fontId="0" fillId="0" borderId="1" xfId="0" applyNumberFormat="1" applyBorder="1"/>
    <xf numFmtId="167" fontId="0" fillId="0" borderId="1" xfId="0" applyNumberFormat="1" applyBorder="1"/>
    <xf numFmtId="0" fontId="3" fillId="5" borderId="1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0" fillId="0" borderId="24" xfId="0" applyBorder="1" applyAlignment="1">
      <alignment wrapText="1"/>
    </xf>
    <xf numFmtId="0" fontId="5" fillId="0" borderId="1" xfId="0" applyFont="1" applyBorder="1" applyAlignment="1">
      <alignment horizontal="justify" vertical="center" wrapText="1"/>
    </xf>
    <xf numFmtId="165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3" fillId="0" borderId="25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2" fontId="0" fillId="5" borderId="1" xfId="0" applyNumberFormat="1" applyFill="1" applyBorder="1" applyAlignment="1">
      <alignment wrapText="1"/>
    </xf>
    <xf numFmtId="0" fontId="3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Fill="1" applyBorder="1" applyAlignment="1">
      <alignment horizontal="justify" vertical="center"/>
    </xf>
    <xf numFmtId="164" fontId="0" fillId="2" borderId="0" xfId="1" applyNumberFormat="1" applyFont="1" applyFill="1"/>
    <xf numFmtId="2" fontId="0" fillId="5" borderId="1" xfId="0" applyNumberFormat="1" applyFill="1" applyBorder="1"/>
    <xf numFmtId="0" fontId="3" fillId="0" borderId="20" xfId="0" applyFont="1" applyBorder="1" applyAlignment="1">
      <alignment vertical="center" wrapText="1"/>
    </xf>
    <xf numFmtId="0" fontId="0" fillId="10" borderId="1" xfId="0" applyFill="1" applyBorder="1"/>
    <xf numFmtId="164" fontId="0" fillId="0" borderId="1" xfId="0" applyNumberFormat="1" applyBorder="1"/>
    <xf numFmtId="0" fontId="3" fillId="11" borderId="1" xfId="0" applyFont="1" applyFill="1" applyBorder="1" applyAlignment="1">
      <alignment horizontal="justify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vertical="center" wrapText="1"/>
    </xf>
    <xf numFmtId="0" fontId="3" fillId="11" borderId="25" xfId="0" applyFont="1" applyFill="1" applyBorder="1" applyAlignment="1">
      <alignment horizontal="center" vertical="center" wrapText="1"/>
    </xf>
    <xf numFmtId="9" fontId="4" fillId="6" borderId="23" xfId="0" applyNumberFormat="1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right" vertical="center" wrapText="1"/>
    </xf>
    <xf numFmtId="0" fontId="4" fillId="6" borderId="16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justify" vertical="center"/>
    </xf>
    <xf numFmtId="0" fontId="0" fillId="6" borderId="16" xfId="0" applyFill="1" applyBorder="1" applyAlignment="1">
      <alignment vertical="center"/>
    </xf>
    <xf numFmtId="0" fontId="7" fillId="6" borderId="15" xfId="0" applyFont="1" applyFill="1" applyBorder="1" applyAlignment="1">
      <alignment horizontal="justify" vertical="center" wrapText="1"/>
    </xf>
    <xf numFmtId="0" fontId="4" fillId="6" borderId="15" xfId="0" applyFont="1" applyFill="1" applyBorder="1" applyAlignment="1">
      <alignment horizontal="justify" vertical="center" wrapText="1"/>
    </xf>
    <xf numFmtId="10" fontId="0" fillId="0" borderId="1" xfId="0" applyNumberFormat="1" applyBorder="1"/>
    <xf numFmtId="0" fontId="4" fillId="12" borderId="15" xfId="0" applyFont="1" applyFill="1" applyBorder="1" applyAlignment="1">
      <alignment horizontal="right" vertical="center" wrapText="1"/>
    </xf>
    <xf numFmtId="0" fontId="0" fillId="12" borderId="16" xfId="0" applyFill="1" applyBorder="1" applyAlignment="1">
      <alignment vertical="center"/>
    </xf>
    <xf numFmtId="0" fontId="4" fillId="12" borderId="16" xfId="0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0" fontId="0" fillId="12" borderId="1" xfId="0" applyFill="1" applyBorder="1"/>
    <xf numFmtId="164" fontId="0" fillId="12" borderId="1" xfId="1" applyNumberFormat="1" applyFont="1" applyFill="1" applyBorder="1"/>
    <xf numFmtId="164" fontId="0" fillId="12" borderId="1" xfId="0" applyNumberFormat="1" applyFill="1" applyBorder="1"/>
    <xf numFmtId="164" fontId="4" fillId="6" borderId="16" xfId="1" applyNumberFormat="1" applyFont="1" applyFill="1" applyBorder="1" applyAlignment="1">
      <alignment horizontal="center" vertical="center"/>
    </xf>
    <xf numFmtId="10" fontId="4" fillId="6" borderId="16" xfId="1" applyNumberFormat="1" applyFont="1" applyFill="1" applyBorder="1" applyAlignment="1">
      <alignment horizontal="center" vertical="center"/>
    </xf>
    <xf numFmtId="10" fontId="4" fillId="6" borderId="1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justify" vertical="center" wrapText="1"/>
    </xf>
    <xf numFmtId="0" fontId="7" fillId="6" borderId="1" xfId="0" applyFont="1" applyFill="1" applyBorder="1" applyAlignment="1">
      <alignment horizontal="justify" vertical="center" wrapText="1"/>
    </xf>
    <xf numFmtId="0" fontId="3" fillId="4" borderId="16" xfId="0" applyFont="1" applyFill="1" applyBorder="1" applyAlignment="1">
      <alignment horizontal="center" vertical="center" wrapText="1"/>
    </xf>
    <xf numFmtId="164" fontId="0" fillId="4" borderId="1" xfId="1" applyNumberFormat="1" applyFont="1" applyFill="1" applyBorder="1"/>
    <xf numFmtId="0" fontId="0" fillId="0" borderId="1" xfId="0" applyBorder="1" applyAlignment="1">
      <alignment horizontal="left" indent="1"/>
    </xf>
    <xf numFmtId="0" fontId="4" fillId="6" borderId="15" xfId="0" applyFont="1" applyFill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center" indent="1"/>
    </xf>
    <xf numFmtId="0" fontId="9" fillId="0" borderId="26" xfId="0" applyFont="1" applyBorder="1" applyAlignment="1">
      <alignment vertical="center" wrapText="1"/>
    </xf>
    <xf numFmtId="0" fontId="9" fillId="0" borderId="27" xfId="0" applyFont="1" applyBorder="1" applyAlignment="1">
      <alignment horizontal="left" vertical="center" wrapText="1" indent="5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0" xfId="0" applyFont="1"/>
    <xf numFmtId="0" fontId="12" fillId="0" borderId="29" xfId="0" applyFont="1" applyBorder="1" applyAlignment="1">
      <alignment vertical="center" wrapText="1"/>
    </xf>
    <xf numFmtId="0" fontId="9" fillId="0" borderId="28" xfId="0" applyFont="1" applyBorder="1" applyAlignment="1">
      <alignment horizontal="right" vertical="center" wrapText="1"/>
    </xf>
    <xf numFmtId="0" fontId="9" fillId="0" borderId="29" xfId="0" applyFont="1" applyBorder="1" applyAlignment="1">
      <alignment horizontal="left" vertical="center" wrapText="1" indent="1"/>
    </xf>
    <xf numFmtId="0" fontId="9" fillId="0" borderId="30" xfId="0" applyFont="1" applyBorder="1" applyAlignment="1">
      <alignment horizontal="left" vertical="center" wrapText="1" indent="5"/>
    </xf>
    <xf numFmtId="0" fontId="9" fillId="0" borderId="28" xfId="0" applyFont="1" applyBorder="1" applyAlignment="1">
      <alignment horizontal="left" vertical="center" wrapText="1" indent="11"/>
    </xf>
    <xf numFmtId="0" fontId="9" fillId="0" borderId="31" xfId="0" applyFont="1" applyBorder="1" applyAlignment="1">
      <alignment vertical="center" wrapText="1"/>
    </xf>
    <xf numFmtId="0" fontId="0" fillId="0" borderId="2" xfId="0" applyFill="1" applyBorder="1"/>
    <xf numFmtId="0" fontId="9" fillId="0" borderId="1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justify" vertical="center"/>
    </xf>
    <xf numFmtId="9" fontId="0" fillId="0" borderId="1" xfId="1" applyFont="1" applyBorder="1"/>
    <xf numFmtId="164" fontId="0" fillId="0" borderId="0" xfId="0" applyNumberFormat="1"/>
    <xf numFmtId="164" fontId="0" fillId="0" borderId="0" xfId="1" applyNumberFormat="1" applyFont="1"/>
    <xf numFmtId="168" fontId="0" fillId="0" borderId="1" xfId="2" applyNumberFormat="1" applyFont="1" applyBorder="1"/>
    <xf numFmtId="0" fontId="4" fillId="0" borderId="1" xfId="0" applyFont="1" applyBorder="1"/>
    <xf numFmtId="168" fontId="0" fillId="0" borderId="1" xfId="0" applyNumberFormat="1" applyBorder="1"/>
    <xf numFmtId="168" fontId="0" fillId="5" borderId="0" xfId="0" applyNumberFormat="1" applyFill="1"/>
    <xf numFmtId="168" fontId="0" fillId="5" borderId="1" xfId="0" applyNumberFormat="1" applyFill="1" applyBorder="1"/>
    <xf numFmtId="0" fontId="9" fillId="0" borderId="32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indent="8"/>
    </xf>
    <xf numFmtId="0" fontId="10" fillId="0" borderId="0" xfId="0" applyFont="1" applyAlignment="1">
      <alignment horizontal="left" vertical="center" indent="5"/>
    </xf>
    <xf numFmtId="0" fontId="9" fillId="0" borderId="0" xfId="0" applyFont="1" applyAlignment="1">
      <alignment horizontal="left" vertical="center" indent="6"/>
    </xf>
    <xf numFmtId="0" fontId="9" fillId="0" borderId="0" xfId="0" applyFont="1" applyAlignment="1">
      <alignment horizontal="left" vertical="center" indent="1"/>
    </xf>
    <xf numFmtId="0" fontId="4" fillId="6" borderId="4" xfId="0" applyFont="1" applyFill="1" applyBorder="1" applyAlignment="1">
      <alignment vertical="center" wrapText="1"/>
    </xf>
    <xf numFmtId="167" fontId="0" fillId="0" borderId="0" xfId="0" applyNumberFormat="1"/>
    <xf numFmtId="0" fontId="9" fillId="0" borderId="33" xfId="0" applyFont="1" applyBorder="1" applyAlignment="1">
      <alignment horizontal="left" vertical="center" wrapText="1" indent="2"/>
    </xf>
    <xf numFmtId="0" fontId="9" fillId="0" borderId="33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5"/>
    </xf>
    <xf numFmtId="0" fontId="9" fillId="0" borderId="1" xfId="0" applyFont="1" applyBorder="1" applyAlignment="1">
      <alignment horizontal="left" vertical="center" wrapText="1" indent="1"/>
    </xf>
    <xf numFmtId="168" fontId="9" fillId="0" borderId="1" xfId="2" applyNumberFormat="1" applyFont="1" applyBorder="1" applyAlignment="1">
      <alignment horizontal="center" vertical="center" wrapText="1"/>
    </xf>
    <xf numFmtId="0" fontId="0" fillId="0" borderId="1" xfId="0" applyFont="1" applyBorder="1"/>
    <xf numFmtId="165" fontId="0" fillId="13" borderId="1" xfId="0" applyNumberFormat="1" applyFill="1" applyBorder="1"/>
    <xf numFmtId="0" fontId="9" fillId="0" borderId="30" xfId="0" applyFont="1" applyBorder="1" applyAlignment="1">
      <alignment horizontal="right" vertical="center" wrapText="1"/>
    </xf>
    <xf numFmtId="2" fontId="0" fillId="14" borderId="1" xfId="0" applyNumberFormat="1" applyFill="1" applyBorder="1"/>
    <xf numFmtId="0" fontId="0" fillId="15" borderId="1" xfId="0" applyFill="1" applyBorder="1"/>
    <xf numFmtId="164" fontId="0" fillId="15" borderId="1" xfId="1" applyNumberFormat="1" applyFont="1" applyFill="1" applyBorder="1"/>
    <xf numFmtId="2" fontId="0" fillId="15" borderId="1" xfId="0" applyNumberFormat="1" applyFill="1" applyBorder="1"/>
    <xf numFmtId="0" fontId="9" fillId="0" borderId="0" xfId="0" applyFont="1" applyAlignment="1">
      <alignment horizontal="left" vertical="center" indent="5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 indent="4"/>
    </xf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 indent="7"/>
    </xf>
    <xf numFmtId="0" fontId="19" fillId="0" borderId="32" xfId="0" applyFont="1" applyBorder="1" applyAlignment="1">
      <alignment vertical="center" wrapText="1"/>
    </xf>
    <xf numFmtId="0" fontId="0" fillId="0" borderId="30" xfId="0" applyBorder="1" applyAlignment="1">
      <alignment vertical="top" wrapText="1"/>
    </xf>
    <xf numFmtId="0" fontId="9" fillId="0" borderId="0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4" fontId="0" fillId="0" borderId="2" xfId="1" applyNumberFormat="1" applyFont="1" applyFill="1" applyBorder="1"/>
    <xf numFmtId="0" fontId="0" fillId="4" borderId="0" xfId="0" applyFill="1"/>
    <xf numFmtId="0" fontId="9" fillId="0" borderId="1" xfId="0" applyFont="1" applyBorder="1" applyAlignment="1">
      <alignment horizontal="left" vertical="center" wrapText="1" indent="15"/>
    </xf>
    <xf numFmtId="0" fontId="0" fillId="0" borderId="36" xfId="0" applyBorder="1"/>
    <xf numFmtId="0" fontId="0" fillId="0" borderId="31" xfId="0" applyBorder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justify" vertical="center" wrapText="1"/>
    </xf>
    <xf numFmtId="168" fontId="0" fillId="2" borderId="1" xfId="2" applyNumberFormat="1" applyFont="1" applyFill="1" applyBorder="1"/>
    <xf numFmtId="14" fontId="3" fillId="0" borderId="16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12" borderId="0" xfId="0" applyFill="1"/>
    <xf numFmtId="0" fontId="0" fillId="16" borderId="0" xfId="0" applyFill="1"/>
    <xf numFmtId="0" fontId="0" fillId="16" borderId="1" xfId="0" applyFill="1" applyBorder="1"/>
    <xf numFmtId="0" fontId="0" fillId="16" borderId="1" xfId="0" applyFill="1" applyBorder="1" applyAlignment="1">
      <alignment wrapText="1"/>
    </xf>
    <xf numFmtId="0" fontId="0" fillId="17" borderId="0" xfId="0" applyFill="1"/>
    <xf numFmtId="0" fontId="0" fillId="17" borderId="1" xfId="0" applyFill="1" applyBorder="1"/>
    <xf numFmtId="164" fontId="0" fillId="5" borderId="1" xfId="1" applyNumberFormat="1" applyFont="1" applyFill="1" applyBorder="1"/>
    <xf numFmtId="164" fontId="0" fillId="5" borderId="1" xfId="0" applyNumberFormat="1" applyFill="1" applyBorder="1"/>
    <xf numFmtId="164" fontId="0" fillId="18" borderId="1" xfId="1" applyNumberFormat="1" applyFont="1" applyFill="1" applyBorder="1"/>
    <xf numFmtId="0" fontId="0" fillId="0" borderId="37" xfId="0" applyBorder="1"/>
    <xf numFmtId="0" fontId="0" fillId="0" borderId="6" xfId="0" applyBorder="1" applyAlignment="1">
      <alignment wrapText="1"/>
    </xf>
    <xf numFmtId="0" fontId="16" fillId="0" borderId="1" xfId="7" applyBorder="1" applyAlignment="1">
      <alignment vertical="center" wrapText="1"/>
    </xf>
    <xf numFmtId="0" fontId="20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168" fontId="3" fillId="0" borderId="1" xfId="2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/>
    </xf>
    <xf numFmtId="0" fontId="0" fillId="0" borderId="5" xfId="0" applyBorder="1" applyAlignment="1">
      <alignment wrapText="1"/>
    </xf>
    <xf numFmtId="3" fontId="0" fillId="0" borderId="5" xfId="0" applyNumberFormat="1" applyBorder="1"/>
    <xf numFmtId="3" fontId="0" fillId="2" borderId="1" xfId="0" applyNumberFormat="1" applyFill="1" applyBorder="1"/>
    <xf numFmtId="165" fontId="0" fillId="0" borderId="37" xfId="0" applyNumberFormat="1" applyBorder="1"/>
    <xf numFmtId="4" fontId="0" fillId="0" borderId="1" xfId="0" applyNumberFormat="1" applyBorder="1"/>
    <xf numFmtId="0" fontId="0" fillId="0" borderId="24" xfId="0" applyBorder="1" applyAlignment="1">
      <alignment wrapText="1"/>
    </xf>
    <xf numFmtId="0" fontId="0" fillId="0" borderId="24" xfId="0" applyBorder="1"/>
    <xf numFmtId="0" fontId="0" fillId="0" borderId="0" xfId="0" applyAlignment="1">
      <alignment horizontal="center"/>
    </xf>
    <xf numFmtId="0" fontId="21" fillId="6" borderId="16" xfId="0" applyFont="1" applyFill="1" applyBorder="1" applyAlignment="1">
      <alignment horizontal="justify" vertical="center" wrapText="1"/>
    </xf>
    <xf numFmtId="0" fontId="22" fillId="0" borderId="0" xfId="0" applyFont="1"/>
    <xf numFmtId="0" fontId="22" fillId="0" borderId="0" xfId="0" applyFont="1" applyAlignment="1">
      <alignment horizontal="center"/>
    </xf>
    <xf numFmtId="0" fontId="4" fillId="0" borderId="0" xfId="0" applyFont="1"/>
    <xf numFmtId="165" fontId="0" fillId="4" borderId="0" xfId="0" applyNumberFormat="1" applyFill="1"/>
    <xf numFmtId="2" fontId="3" fillId="0" borderId="1" xfId="0" applyNumberFormat="1" applyFont="1" applyBorder="1" applyAlignment="1">
      <alignment horizontal="justify" vertical="center" wrapText="1"/>
    </xf>
    <xf numFmtId="169" fontId="0" fillId="0" borderId="1" xfId="0" applyNumberFormat="1" applyBorder="1"/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1" fontId="0" fillId="0" borderId="0" xfId="0" applyNumberFormat="1"/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4" fillId="6" borderId="17" xfId="0" applyFont="1" applyFill="1" applyBorder="1" applyAlignment="1">
      <alignment horizontal="justify" vertical="center" wrapText="1"/>
    </xf>
    <xf numFmtId="0" fontId="4" fillId="6" borderId="15" xfId="0" applyFont="1" applyFill="1" applyBorder="1" applyAlignment="1">
      <alignment horizontal="justify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9" fillId="0" borderId="34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 indent="4"/>
    </xf>
    <xf numFmtId="0" fontId="10" fillId="0" borderId="0" xfId="0" applyFont="1" applyAlignment="1">
      <alignment horizontal="left" vertical="center" wrapText="1" indent="4"/>
    </xf>
    <xf numFmtId="0" fontId="9" fillId="0" borderId="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0" fontId="0" fillId="0" borderId="42" xfId="0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3" xfId="0" applyBorder="1" applyAlignment="1">
      <alignment wrapText="1"/>
    </xf>
    <xf numFmtId="168" fontId="0" fillId="2" borderId="0" xfId="0" applyNumberFormat="1" applyFill="1"/>
    <xf numFmtId="0" fontId="0" fillId="0" borderId="14" xfId="0" applyBorder="1"/>
    <xf numFmtId="0" fontId="3" fillId="0" borderId="40" xfId="0" applyFont="1" applyBorder="1" applyAlignment="1">
      <alignment horizontal="center" vertical="center" wrapText="1"/>
    </xf>
    <xf numFmtId="0" fontId="0" fillId="0" borderId="21" xfId="0" applyBorder="1"/>
    <xf numFmtId="164" fontId="0" fillId="2" borderId="1" xfId="0" applyNumberFormat="1" applyFill="1" applyBorder="1"/>
    <xf numFmtId="164" fontId="0" fillId="19" borderId="1" xfId="1" applyNumberFormat="1" applyFont="1" applyFill="1" applyBorder="1"/>
    <xf numFmtId="14" fontId="4" fillId="6" borderId="14" xfId="0" applyNumberFormat="1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justify" vertical="center" wrapText="1"/>
    </xf>
    <xf numFmtId="0" fontId="4" fillId="6" borderId="25" xfId="0" applyFont="1" applyFill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justify" vertical="center" wrapText="1"/>
    </xf>
    <xf numFmtId="171" fontId="0" fillId="0" borderId="1" xfId="0" applyNumberFormat="1" applyBorder="1"/>
    <xf numFmtId="0" fontId="3" fillId="20" borderId="0" xfId="0" applyFont="1" applyFill="1" applyAlignment="1">
      <alignment horizontal="justify" vertical="center"/>
    </xf>
    <xf numFmtId="0" fontId="3" fillId="0" borderId="5" xfId="0" applyFont="1" applyFill="1" applyBorder="1" applyAlignment="1">
      <alignment horizontal="justify" vertical="center"/>
    </xf>
    <xf numFmtId="171" fontId="0" fillId="0" borderId="10" xfId="0" applyNumberFormat="1" applyBorder="1"/>
    <xf numFmtId="0" fontId="0" fillId="21" borderId="43" xfId="0" applyFill="1" applyBorder="1"/>
    <xf numFmtId="0" fontId="0" fillId="21" borderId="2" xfId="0" applyFill="1" applyBorder="1"/>
    <xf numFmtId="0" fontId="0" fillId="21" borderId="0" xfId="0" applyFill="1"/>
    <xf numFmtId="0" fontId="0" fillId="21" borderId="0" xfId="0" applyFill="1" applyAlignment="1">
      <alignment horizontal="left"/>
    </xf>
    <xf numFmtId="0" fontId="0" fillId="21" borderId="0" xfId="0" applyFill="1" applyAlignment="1">
      <alignment horizontal="right"/>
    </xf>
    <xf numFmtId="0" fontId="0" fillId="2" borderId="12" xfId="0" applyFill="1" applyBorder="1"/>
    <xf numFmtId="0" fontId="0" fillId="17" borderId="12" xfId="0" applyFill="1" applyBorder="1"/>
    <xf numFmtId="0" fontId="0" fillId="14" borderId="0" xfId="0" applyFill="1" applyBorder="1" applyAlignment="1">
      <alignment wrapText="1"/>
    </xf>
    <xf numFmtId="0" fontId="0" fillId="14" borderId="0" xfId="0" applyFill="1" applyAlignment="1">
      <alignment wrapText="1"/>
    </xf>
    <xf numFmtId="0" fontId="3" fillId="0" borderId="14" xfId="0" applyFont="1" applyBorder="1" applyAlignment="1">
      <alignment horizontal="justify" vertical="center"/>
    </xf>
  </cellXfs>
  <cellStyles count="9">
    <cellStyle name="Гиперссылка" xfId="3" builtinId="8" hidden="1"/>
    <cellStyle name="Гиперссылка" xfId="5" builtinId="8" hidden="1"/>
    <cellStyle name="Гиперссылка" xfId="7" builtinId="8"/>
    <cellStyle name="Обычный" xfId="0" builtinId="0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4" Type="http://schemas.openxmlformats.org/officeDocument/2006/relationships/image" Target="../media/image5.emf"/><Relationship Id="rId5" Type="http://schemas.openxmlformats.org/officeDocument/2006/relationships/image" Target="../media/image6.png"/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1500188</xdr:colOff>
      <xdr:row>25</xdr:row>
      <xdr:rowOff>25966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937250"/>
          <a:ext cx="1500188" cy="4069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0</xdr:rowOff>
        </xdr:from>
        <xdr:to>
          <xdr:col>1</xdr:col>
          <xdr:colOff>406400</xdr:colOff>
          <xdr:row>75</xdr:row>
          <xdr:rowOff>177800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84</xdr:row>
      <xdr:rowOff>0</xdr:rowOff>
    </xdr:from>
    <xdr:to>
      <xdr:col>4</xdr:col>
      <xdr:colOff>111125</xdr:colOff>
      <xdr:row>86</xdr:row>
      <xdr:rowOff>73991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22875" y="19470688"/>
          <a:ext cx="1635125" cy="45499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85</xdr:row>
      <xdr:rowOff>79376</xdr:rowOff>
    </xdr:from>
    <xdr:to>
      <xdr:col>4</xdr:col>
      <xdr:colOff>500063</xdr:colOff>
      <xdr:row>88</xdr:row>
      <xdr:rowOff>8814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22875" y="19740564"/>
          <a:ext cx="2024063" cy="50093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8</xdr:col>
      <xdr:colOff>701675</xdr:colOff>
      <xdr:row>89</xdr:row>
      <xdr:rowOff>50800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22875" y="20232688"/>
          <a:ext cx="6146800" cy="241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2324100</xdr:colOff>
      <xdr:row>173</xdr:row>
      <xdr:rowOff>152400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39449375"/>
          <a:ext cx="2324100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1.docx"/><Relationship Id="rId4" Type="http://schemas.openxmlformats.org/officeDocument/2006/relationships/image" Target="../media/image1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6"/>
  <sheetViews>
    <sheetView zoomScale="150" zoomScaleNormal="150" zoomScalePageLayoutView="150" workbookViewId="0">
      <selection activeCell="A2" sqref="A2:C7"/>
    </sheetView>
  </sheetViews>
  <sheetFormatPr baseColWidth="10" defaultColWidth="8.83203125" defaultRowHeight="15" x14ac:dyDescent="0.2"/>
  <cols>
    <col min="1" max="1" width="28.1640625" customWidth="1"/>
    <col min="2" max="2" width="16.83203125" customWidth="1"/>
    <col min="3" max="3" width="12.5" customWidth="1"/>
    <col min="4" max="4" width="22.5" customWidth="1"/>
    <col min="5" max="5" width="12.5" customWidth="1"/>
    <col min="6" max="6" width="13.83203125" customWidth="1"/>
    <col min="8" max="8" width="17.1640625" customWidth="1"/>
    <col min="9" max="9" width="10.1640625" bestFit="1" customWidth="1"/>
    <col min="10" max="10" width="11.6640625" customWidth="1"/>
  </cols>
  <sheetData>
    <row r="2" spans="1:11" x14ac:dyDescent="0.2">
      <c r="A2" s="1" t="s">
        <v>0</v>
      </c>
      <c r="B2" s="1" t="s">
        <v>1</v>
      </c>
      <c r="C2" s="1" t="s">
        <v>2</v>
      </c>
      <c r="D2" s="1" t="s">
        <v>3</v>
      </c>
    </row>
    <row r="3" spans="1:11" x14ac:dyDescent="0.2">
      <c r="A3" s="1" t="s">
        <v>4</v>
      </c>
      <c r="B3" s="1">
        <v>0.18</v>
      </c>
      <c r="C3" s="1">
        <v>0.2</v>
      </c>
      <c r="D3" s="1">
        <f>C3-B3</f>
        <v>2.0000000000000018E-2</v>
      </c>
    </row>
    <row r="4" spans="1:11" x14ac:dyDescent="0.2">
      <c r="A4" s="1" t="s">
        <v>5</v>
      </c>
      <c r="B4" s="1">
        <v>1500000</v>
      </c>
      <c r="C4" s="1">
        <v>1800000</v>
      </c>
      <c r="D4" s="1">
        <f t="shared" ref="D4:D5" si="0">C4-B4</f>
        <v>300000</v>
      </c>
    </row>
    <row r="5" spans="1:11" x14ac:dyDescent="0.2">
      <c r="A5" s="1" t="s">
        <v>6</v>
      </c>
      <c r="B5" s="1">
        <f>B3*B4</f>
        <v>270000</v>
      </c>
      <c r="C5" s="1">
        <f>C3*C4</f>
        <v>360000</v>
      </c>
      <c r="D5" s="2">
        <f t="shared" si="0"/>
        <v>90000</v>
      </c>
    </row>
    <row r="6" spans="1:11" x14ac:dyDescent="0.2">
      <c r="A6" s="1" t="s">
        <v>7</v>
      </c>
      <c r="B6" s="1"/>
      <c r="C6" s="1"/>
      <c r="D6" s="1">
        <f>D3*B4</f>
        <v>30000.000000000025</v>
      </c>
    </row>
    <row r="7" spans="1:11" x14ac:dyDescent="0.2">
      <c r="A7" s="1" t="s">
        <v>8</v>
      </c>
      <c r="B7" s="1"/>
      <c r="C7" s="1"/>
      <c r="D7" s="1">
        <f>D4*C3</f>
        <v>60000</v>
      </c>
    </row>
    <row r="8" spans="1:11" x14ac:dyDescent="0.2">
      <c r="A8" s="1"/>
      <c r="B8" s="1"/>
      <c r="C8" s="1"/>
      <c r="D8" s="2">
        <f>SUM(D6:D7)</f>
        <v>90000.000000000029</v>
      </c>
    </row>
    <row r="9" spans="1:11" x14ac:dyDescent="0.2">
      <c r="A9" s="1"/>
      <c r="B9" s="1"/>
      <c r="C9" s="1"/>
      <c r="D9" s="1"/>
    </row>
    <row r="11" spans="1:11" ht="52.5" customHeight="1" x14ac:dyDescent="0.2">
      <c r="A11" s="271" t="s">
        <v>9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</row>
    <row r="12" spans="1:11" x14ac:dyDescent="0.2">
      <c r="A12" s="293" t="s">
        <v>10</v>
      </c>
      <c r="B12" s="294" t="s">
        <v>11</v>
      </c>
      <c r="C12" s="294"/>
    </row>
    <row r="13" spans="1:11" x14ac:dyDescent="0.2">
      <c r="A13" s="293"/>
      <c r="B13" s="3" t="s">
        <v>12</v>
      </c>
      <c r="C13" s="3" t="s">
        <v>13</v>
      </c>
    </row>
    <row r="14" spans="1:11" x14ac:dyDescent="0.2">
      <c r="A14" s="4" t="s">
        <v>14</v>
      </c>
      <c r="B14" s="3">
        <v>360</v>
      </c>
      <c r="C14" s="3">
        <v>412</v>
      </c>
    </row>
    <row r="15" spans="1:11" ht="26" x14ac:dyDescent="0.2">
      <c r="A15" s="4" t="s">
        <v>15</v>
      </c>
      <c r="B15" s="3">
        <v>125</v>
      </c>
      <c r="C15" s="3">
        <v>175</v>
      </c>
    </row>
    <row r="16" spans="1:11" x14ac:dyDescent="0.2">
      <c r="A16" s="4" t="s">
        <v>16</v>
      </c>
      <c r="B16" s="3">
        <v>53</v>
      </c>
      <c r="C16" s="3">
        <v>42</v>
      </c>
    </row>
    <row r="17" spans="1:9" ht="26" x14ac:dyDescent="0.2">
      <c r="A17" s="4" t="s">
        <v>17</v>
      </c>
      <c r="B17" s="3">
        <v>165</v>
      </c>
      <c r="C17" s="3">
        <v>215</v>
      </c>
    </row>
    <row r="18" spans="1:9" ht="26" x14ac:dyDescent="0.2">
      <c r="A18" s="4" t="s">
        <v>18</v>
      </c>
      <c r="B18" s="3">
        <v>85</v>
      </c>
      <c r="C18" s="3">
        <v>95</v>
      </c>
    </row>
    <row r="19" spans="1:9" x14ac:dyDescent="0.2">
      <c r="A19" s="6" t="s">
        <v>19</v>
      </c>
      <c r="B19" s="1">
        <f>B14+B15+B17</f>
        <v>650</v>
      </c>
      <c r="C19" s="1">
        <f>C14+C15+C17</f>
        <v>802</v>
      </c>
    </row>
    <row r="21" spans="1:9" x14ac:dyDescent="0.2">
      <c r="A21" s="293" t="s">
        <v>10</v>
      </c>
      <c r="B21" s="294" t="s">
        <v>11</v>
      </c>
      <c r="C21" s="294"/>
      <c r="D21" s="7"/>
      <c r="E21" s="7"/>
      <c r="F21" s="7"/>
      <c r="G21" s="7"/>
      <c r="H21" s="7"/>
    </row>
    <row r="22" spans="1:9" ht="30" x14ac:dyDescent="0.2">
      <c r="A22" s="293"/>
      <c r="B22" s="3" t="s">
        <v>12</v>
      </c>
      <c r="C22" s="3" t="s">
        <v>13</v>
      </c>
      <c r="D22" s="7" t="s">
        <v>3</v>
      </c>
      <c r="E22" s="7" t="s">
        <v>23</v>
      </c>
      <c r="F22" s="7" t="s">
        <v>24</v>
      </c>
      <c r="G22" s="7" t="s">
        <v>25</v>
      </c>
      <c r="H22" s="7" t="s">
        <v>26</v>
      </c>
    </row>
    <row r="23" spans="1:9" x14ac:dyDescent="0.2">
      <c r="A23" s="4" t="s">
        <v>14</v>
      </c>
      <c r="B23" s="3">
        <v>360</v>
      </c>
      <c r="C23" s="3">
        <v>412</v>
      </c>
      <c r="D23" s="7">
        <f>C23-B23</f>
        <v>52</v>
      </c>
      <c r="E23" s="10">
        <f>D23/B23</f>
        <v>0.14444444444444443</v>
      </c>
      <c r="F23" s="10">
        <f>B23/B$30</f>
        <v>0.55384615384615388</v>
      </c>
      <c r="G23" s="10">
        <f>C23/C$30</f>
        <v>0.513715710723192</v>
      </c>
      <c r="H23" s="11">
        <f>G23-F23</f>
        <v>-4.0130443122961879E-2</v>
      </c>
    </row>
    <row r="24" spans="1:9" x14ac:dyDescent="0.2">
      <c r="A24" s="8" t="s">
        <v>20</v>
      </c>
      <c r="B24" s="9">
        <f>B25+B26</f>
        <v>138</v>
      </c>
      <c r="C24" s="9">
        <f>C25+C26</f>
        <v>137</v>
      </c>
      <c r="D24" s="9">
        <f t="shared" ref="D24:D30" si="1">C24-B24</f>
        <v>-1</v>
      </c>
      <c r="E24" s="12">
        <f t="shared" ref="E24:E30" si="2">D24/B24</f>
        <v>-7.246376811594203E-3</v>
      </c>
      <c r="F24" s="12">
        <f t="shared" ref="F24:F30" si="3">B24/B$30</f>
        <v>0.21230769230769231</v>
      </c>
      <c r="G24" s="12">
        <f t="shared" ref="G24:G30" si="4">C24/C$30</f>
        <v>0.17082294264339151</v>
      </c>
      <c r="H24" s="13">
        <f t="shared" ref="H24:H30" si="5">G24-F24</f>
        <v>-4.1484749664300796E-2</v>
      </c>
    </row>
    <row r="25" spans="1:9" x14ac:dyDescent="0.2">
      <c r="A25" s="6" t="s">
        <v>21</v>
      </c>
      <c r="B25" s="7">
        <f>B16</f>
        <v>53</v>
      </c>
      <c r="C25" s="7">
        <f>C16</f>
        <v>42</v>
      </c>
      <c r="D25" s="7">
        <f>C25-B25</f>
        <v>-11</v>
      </c>
      <c r="E25" s="10">
        <f>D25/B25</f>
        <v>-0.20754716981132076</v>
      </c>
      <c r="F25" s="10">
        <f>B25/B$30</f>
        <v>8.1538461538461532E-2</v>
      </c>
      <c r="G25" s="10">
        <f t="shared" si="4"/>
        <v>5.2369077306733167E-2</v>
      </c>
      <c r="H25" s="11">
        <f t="shared" si="5"/>
        <v>-2.9169384231728365E-2</v>
      </c>
    </row>
    <row r="26" spans="1:9" ht="26" x14ac:dyDescent="0.2">
      <c r="A26" s="6" t="s">
        <v>22</v>
      </c>
      <c r="B26" s="7">
        <f>B18</f>
        <v>85</v>
      </c>
      <c r="C26" s="7">
        <f>C18</f>
        <v>95</v>
      </c>
      <c r="D26" s="7">
        <f t="shared" si="1"/>
        <v>10</v>
      </c>
      <c r="E26" s="10">
        <f t="shared" si="2"/>
        <v>0.11764705882352941</v>
      </c>
      <c r="F26" s="10">
        <f>B26/B$30</f>
        <v>0.13076923076923078</v>
      </c>
      <c r="G26" s="10">
        <f t="shared" si="4"/>
        <v>0.11845386533665836</v>
      </c>
      <c r="H26" s="11">
        <f>G26-F26</f>
        <v>-1.2315365432572417E-2</v>
      </c>
    </row>
    <row r="27" spans="1:9" x14ac:dyDescent="0.2">
      <c r="A27" s="9" t="s">
        <v>27</v>
      </c>
      <c r="B27" s="9">
        <f>B28+B29</f>
        <v>152</v>
      </c>
      <c r="C27" s="9">
        <f>C28+C29</f>
        <v>253</v>
      </c>
      <c r="D27" s="9">
        <f t="shared" si="1"/>
        <v>101</v>
      </c>
      <c r="E27" s="12">
        <f t="shared" si="2"/>
        <v>0.66447368421052633</v>
      </c>
      <c r="F27" s="12">
        <f t="shared" si="3"/>
        <v>0.23384615384615384</v>
      </c>
      <c r="G27" s="12">
        <f t="shared" si="4"/>
        <v>0.31546134663341646</v>
      </c>
      <c r="H27" s="13">
        <f t="shared" si="5"/>
        <v>8.1615192787262619E-2</v>
      </c>
    </row>
    <row r="28" spans="1:9" x14ac:dyDescent="0.2">
      <c r="A28" s="7" t="s">
        <v>28</v>
      </c>
      <c r="B28" s="7">
        <f>B15-B16</f>
        <v>72</v>
      </c>
      <c r="C28" s="7">
        <f>C15-C16</f>
        <v>133</v>
      </c>
      <c r="D28" s="7">
        <f t="shared" si="1"/>
        <v>61</v>
      </c>
      <c r="E28" s="10">
        <f t="shared" si="2"/>
        <v>0.84722222222222221</v>
      </c>
      <c r="F28" s="10">
        <f t="shared" si="3"/>
        <v>0.11076923076923077</v>
      </c>
      <c r="G28" s="10">
        <f t="shared" si="4"/>
        <v>0.16583541147132169</v>
      </c>
      <c r="H28" s="11">
        <f t="shared" si="5"/>
        <v>5.5066180702090919E-2</v>
      </c>
    </row>
    <row r="29" spans="1:9" x14ac:dyDescent="0.2">
      <c r="A29" s="1" t="s">
        <v>29</v>
      </c>
      <c r="B29" s="1">
        <f>B17-B18</f>
        <v>80</v>
      </c>
      <c r="C29" s="1">
        <f>C17-C18</f>
        <v>120</v>
      </c>
      <c r="D29" s="7">
        <f t="shared" si="1"/>
        <v>40</v>
      </c>
      <c r="E29" s="10">
        <f t="shared" si="2"/>
        <v>0.5</v>
      </c>
      <c r="F29" s="10">
        <f t="shared" si="3"/>
        <v>0.12307692307692308</v>
      </c>
      <c r="G29" s="10">
        <f t="shared" si="4"/>
        <v>0.14962593516209477</v>
      </c>
      <c r="H29" s="11">
        <f t="shared" si="5"/>
        <v>2.6549012085171686E-2</v>
      </c>
    </row>
    <row r="30" spans="1:9" x14ac:dyDescent="0.2">
      <c r="A30" s="1" t="s">
        <v>30</v>
      </c>
      <c r="B30" s="1">
        <f>B23+B24+B27</f>
        <v>650</v>
      </c>
      <c r="C30" s="1">
        <f>C23+C24+C27</f>
        <v>802</v>
      </c>
      <c r="D30" s="7">
        <f t="shared" si="1"/>
        <v>152</v>
      </c>
      <c r="E30" s="10">
        <f t="shared" si="2"/>
        <v>0.23384615384615384</v>
      </c>
      <c r="F30" s="10">
        <f t="shared" si="3"/>
        <v>1</v>
      </c>
      <c r="G30" s="10">
        <f t="shared" si="4"/>
        <v>1</v>
      </c>
      <c r="H30" s="11">
        <f t="shared" si="5"/>
        <v>0</v>
      </c>
    </row>
    <row r="32" spans="1:9" ht="53.25" customHeight="1" x14ac:dyDescent="0.2">
      <c r="A32" s="295" t="s">
        <v>31</v>
      </c>
      <c r="B32" s="295"/>
      <c r="C32" s="295"/>
      <c r="D32" s="295"/>
      <c r="E32" s="295"/>
      <c r="F32" s="295"/>
      <c r="G32" s="295"/>
      <c r="H32" s="295"/>
      <c r="I32" s="295"/>
    </row>
    <row r="33" spans="1:10" ht="25.5" customHeight="1" x14ac:dyDescent="0.2">
      <c r="A33" s="293" t="s">
        <v>32</v>
      </c>
      <c r="B33" s="294" t="s">
        <v>33</v>
      </c>
      <c r="C33" s="294"/>
      <c r="D33" s="1"/>
      <c r="E33" s="1"/>
      <c r="F33" s="1"/>
    </row>
    <row r="34" spans="1:10" ht="26" x14ac:dyDescent="0.2">
      <c r="A34" s="293"/>
      <c r="B34" s="4" t="s">
        <v>34</v>
      </c>
      <c r="C34" s="4" t="s">
        <v>35</v>
      </c>
      <c r="D34" s="1" t="s">
        <v>40</v>
      </c>
      <c r="E34" s="1" t="s">
        <v>41</v>
      </c>
      <c r="F34" s="1"/>
    </row>
    <row r="35" spans="1:10" x14ac:dyDescent="0.2">
      <c r="A35" s="4" t="s">
        <v>36</v>
      </c>
      <c r="B35" s="3">
        <v>25</v>
      </c>
      <c r="C35" s="3">
        <v>22</v>
      </c>
      <c r="D35" s="1">
        <f>B35-C35</f>
        <v>3</v>
      </c>
      <c r="E35" s="1">
        <f>D35*0.2</f>
        <v>0.60000000000000009</v>
      </c>
      <c r="F35" s="1" t="s">
        <v>43</v>
      </c>
    </row>
    <row r="36" spans="1:10" x14ac:dyDescent="0.2">
      <c r="A36" s="4" t="s">
        <v>37</v>
      </c>
      <c r="B36" s="3">
        <v>40</v>
      </c>
      <c r="C36" s="3">
        <v>30</v>
      </c>
      <c r="D36" s="1">
        <f>B36-C36</f>
        <v>10</v>
      </c>
      <c r="E36" s="1">
        <f>D36*0.2</f>
        <v>2</v>
      </c>
      <c r="F36" s="1" t="s">
        <v>43</v>
      </c>
    </row>
    <row r="37" spans="1:10" ht="26" x14ac:dyDescent="0.2">
      <c r="A37" s="4" t="s">
        <v>38</v>
      </c>
      <c r="B37" s="3">
        <v>4</v>
      </c>
      <c r="C37" s="3">
        <v>2</v>
      </c>
      <c r="D37" s="1">
        <f>B37-C37</f>
        <v>2</v>
      </c>
      <c r="E37" s="1">
        <f>D37*0.2</f>
        <v>0.4</v>
      </c>
      <c r="F37" s="1" t="s">
        <v>44</v>
      </c>
    </row>
    <row r="38" spans="1:10" ht="26" x14ac:dyDescent="0.2">
      <c r="A38" s="4" t="s">
        <v>39</v>
      </c>
      <c r="B38" s="3">
        <v>2.5</v>
      </c>
      <c r="C38" s="3">
        <v>0</v>
      </c>
      <c r="D38" s="1">
        <f>B38-C38</f>
        <v>2.5</v>
      </c>
      <c r="E38" s="1">
        <f>D38*0.2</f>
        <v>0.5</v>
      </c>
      <c r="F38" s="1" t="s">
        <v>45</v>
      </c>
    </row>
    <row r="39" spans="1:10" x14ac:dyDescent="0.2">
      <c r="A39" s="5" t="s">
        <v>42</v>
      </c>
      <c r="D39" s="15"/>
      <c r="E39" s="15">
        <f>E35+E36+E37+-E38</f>
        <v>2.5</v>
      </c>
    </row>
    <row r="41" spans="1:10" ht="124.5" customHeight="1" x14ac:dyDescent="0.2">
      <c r="A41" s="295" t="s">
        <v>46</v>
      </c>
      <c r="B41" s="295"/>
      <c r="C41" s="295"/>
      <c r="D41" s="295"/>
      <c r="E41" s="295"/>
      <c r="F41" s="295"/>
      <c r="G41" s="295"/>
      <c r="H41" s="295"/>
      <c r="I41" s="295"/>
      <c r="J41" s="295"/>
    </row>
    <row r="42" spans="1:10" ht="10.5" customHeight="1" x14ac:dyDescent="0.2">
      <c r="A42" s="14"/>
      <c r="B42" s="14"/>
      <c r="C42" s="14"/>
      <c r="D42" s="14"/>
      <c r="E42" s="14"/>
      <c r="F42" s="296" t="s">
        <v>57</v>
      </c>
      <c r="G42" s="296"/>
      <c r="H42" s="14"/>
      <c r="I42" s="297" t="s">
        <v>58</v>
      </c>
      <c r="J42" s="297"/>
    </row>
    <row r="43" spans="1:10" ht="16" thickBot="1" x14ac:dyDescent="0.25">
      <c r="A43" s="20" t="s">
        <v>47</v>
      </c>
      <c r="B43" s="21" t="s">
        <v>48</v>
      </c>
      <c r="C43" s="21" t="s">
        <v>49</v>
      </c>
      <c r="D43" s="21" t="s">
        <v>50</v>
      </c>
      <c r="F43" s="33" t="s">
        <v>51</v>
      </c>
      <c r="G43" s="1"/>
      <c r="I43" s="1"/>
      <c r="J43" s="36" t="s">
        <v>56</v>
      </c>
    </row>
    <row r="44" spans="1:10" x14ac:dyDescent="0.2">
      <c r="A44" s="22" t="s">
        <v>59</v>
      </c>
      <c r="B44" s="23">
        <v>60</v>
      </c>
      <c r="C44" s="23">
        <v>51</v>
      </c>
      <c r="D44" s="24">
        <v>320</v>
      </c>
      <c r="F44" s="1" t="s">
        <v>48</v>
      </c>
      <c r="G44" s="1" t="s">
        <v>49</v>
      </c>
      <c r="I44" s="1" t="s">
        <v>48</v>
      </c>
      <c r="J44" s="1" t="s">
        <v>49</v>
      </c>
    </row>
    <row r="45" spans="1:10" x14ac:dyDescent="0.2">
      <c r="A45" s="25" t="s">
        <v>60</v>
      </c>
      <c r="B45" s="1">
        <v>41</v>
      </c>
      <c r="C45" s="1">
        <v>60</v>
      </c>
      <c r="D45" s="32">
        <f>D44/1.2</f>
        <v>266.66666666666669</v>
      </c>
      <c r="E45" t="s">
        <v>52</v>
      </c>
      <c r="F45" s="1">
        <v>88</v>
      </c>
      <c r="G45" s="1"/>
      <c r="H45" t="s">
        <v>52</v>
      </c>
      <c r="I45" s="1"/>
      <c r="J45" s="1">
        <v>145</v>
      </c>
    </row>
    <row r="46" spans="1:10" x14ac:dyDescent="0.2">
      <c r="A46" s="25" t="s">
        <v>61</v>
      </c>
      <c r="B46" s="33">
        <v>19</v>
      </c>
      <c r="C46" s="1">
        <v>60</v>
      </c>
      <c r="D46" s="32">
        <f>D44*20/120</f>
        <v>53.333333333333336</v>
      </c>
      <c r="E46" t="s">
        <v>53</v>
      </c>
      <c r="F46" s="38">
        <f>D46</f>
        <v>53.333333333333336</v>
      </c>
      <c r="G46" s="1">
        <f>D47</f>
        <v>44</v>
      </c>
      <c r="H46" t="s">
        <v>53</v>
      </c>
      <c r="I46" s="1">
        <f>D47+D51</f>
        <v>92</v>
      </c>
      <c r="J46" s="1">
        <f>D50</f>
        <v>75</v>
      </c>
    </row>
    <row r="47" spans="1:10" ht="16" thickBot="1" x14ac:dyDescent="0.25">
      <c r="A47" s="27" t="s">
        <v>75</v>
      </c>
      <c r="B47" s="37" t="s">
        <v>69</v>
      </c>
      <c r="C47" s="34">
        <v>19</v>
      </c>
      <c r="D47" s="29">
        <f>44</f>
        <v>44</v>
      </c>
      <c r="E47" t="s">
        <v>54</v>
      </c>
      <c r="F47" s="38">
        <f>F45+F46-G46</f>
        <v>97.333333333333343</v>
      </c>
      <c r="G47" s="1"/>
      <c r="H47" t="s">
        <v>54</v>
      </c>
      <c r="I47" s="1"/>
      <c r="J47" s="1">
        <f>J45+J46-I46</f>
        <v>128</v>
      </c>
    </row>
    <row r="48" spans="1:10" x14ac:dyDescent="0.2">
      <c r="A48" s="22" t="s">
        <v>62</v>
      </c>
      <c r="B48" s="23">
        <v>51</v>
      </c>
      <c r="C48" s="23">
        <v>62</v>
      </c>
      <c r="D48" s="24">
        <v>450</v>
      </c>
      <c r="E48" s="19" t="s">
        <v>55</v>
      </c>
      <c r="F48" s="39">
        <f>F47-F45</f>
        <v>9.3333333333333428</v>
      </c>
      <c r="G48" s="2"/>
      <c r="H48" s="19" t="s">
        <v>55</v>
      </c>
      <c r="I48" s="2"/>
      <c r="J48" s="2">
        <f>J47-J45</f>
        <v>-17</v>
      </c>
    </row>
    <row r="49" spans="1:10" x14ac:dyDescent="0.2">
      <c r="A49" s="25" t="s">
        <v>63</v>
      </c>
      <c r="B49" s="1">
        <v>62</v>
      </c>
      <c r="C49" s="1" t="s">
        <v>70</v>
      </c>
      <c r="D49" s="26">
        <v>450</v>
      </c>
      <c r="E49" s="19" t="s">
        <v>23</v>
      </c>
      <c r="F49" s="40">
        <f>F48/F45</f>
        <v>0.10606060606060617</v>
      </c>
      <c r="G49" s="2"/>
      <c r="H49" s="19" t="s">
        <v>23</v>
      </c>
      <c r="I49" s="2"/>
      <c r="J49" s="40">
        <f>J48/J45</f>
        <v>-0.11724137931034483</v>
      </c>
    </row>
    <row r="50" spans="1:10" x14ac:dyDescent="0.2">
      <c r="A50" s="25" t="s">
        <v>64</v>
      </c>
      <c r="B50" s="1" t="s">
        <v>71</v>
      </c>
      <c r="C50" s="36" t="s">
        <v>69</v>
      </c>
      <c r="D50" s="26">
        <f>D49*20/120</f>
        <v>75</v>
      </c>
      <c r="F50" s="1"/>
      <c r="G50" s="1"/>
      <c r="I50" s="1"/>
      <c r="J50" s="1"/>
    </row>
    <row r="51" spans="1:10" x14ac:dyDescent="0.2">
      <c r="A51" s="30" t="s">
        <v>65</v>
      </c>
      <c r="B51" s="36" t="s">
        <v>69</v>
      </c>
      <c r="C51" s="1">
        <v>51</v>
      </c>
      <c r="D51" s="26">
        <v>48</v>
      </c>
      <c r="F51" s="1"/>
      <c r="G51" s="1"/>
      <c r="I51" s="1"/>
      <c r="J51" s="1"/>
    </row>
    <row r="52" spans="1:10" x14ac:dyDescent="0.2">
      <c r="A52" s="25" t="s">
        <v>66</v>
      </c>
      <c r="B52" s="1" t="s">
        <v>72</v>
      </c>
      <c r="C52" s="1">
        <v>41</v>
      </c>
      <c r="D52" s="26"/>
    </row>
    <row r="53" spans="1:10" x14ac:dyDescent="0.2">
      <c r="A53" s="30" t="s">
        <v>67</v>
      </c>
      <c r="B53" s="1" t="s">
        <v>73</v>
      </c>
      <c r="C53" s="1">
        <v>99</v>
      </c>
      <c r="D53" s="26"/>
    </row>
    <row r="54" spans="1:10" ht="16" thickBot="1" x14ac:dyDescent="0.25">
      <c r="A54" s="31" t="s">
        <v>68</v>
      </c>
      <c r="B54" s="28">
        <v>99</v>
      </c>
      <c r="C54" s="28" t="s">
        <v>74</v>
      </c>
      <c r="D54" s="29"/>
    </row>
    <row r="56" spans="1:10" ht="30" customHeight="1" x14ac:dyDescent="0.2">
      <c r="A56" s="272" t="s">
        <v>76</v>
      </c>
      <c r="B56" s="272"/>
      <c r="C56" s="272"/>
      <c r="D56" s="272"/>
      <c r="E56" s="272"/>
      <c r="F56" s="272"/>
      <c r="G56" s="272"/>
      <c r="H56" s="272"/>
      <c r="I56" s="272"/>
    </row>
    <row r="57" spans="1:10" x14ac:dyDescent="0.2">
      <c r="A57" s="4" t="s">
        <v>77</v>
      </c>
      <c r="B57" s="42" t="s">
        <v>78</v>
      </c>
      <c r="C57" s="42" t="s">
        <v>79</v>
      </c>
      <c r="D57" s="1" t="s">
        <v>85</v>
      </c>
      <c r="E57" s="1" t="s">
        <v>86</v>
      </c>
    </row>
    <row r="58" spans="1:10" x14ac:dyDescent="0.2">
      <c r="A58" s="4" t="s">
        <v>14</v>
      </c>
      <c r="B58" s="3">
        <v>1700</v>
      </c>
      <c r="C58" s="3">
        <v>2000</v>
      </c>
      <c r="D58" s="1">
        <f>C58-B58</f>
        <v>300</v>
      </c>
      <c r="E58" s="44">
        <f>D58/B58</f>
        <v>0.17647058823529413</v>
      </c>
    </row>
    <row r="59" spans="1:10" x14ac:dyDescent="0.2">
      <c r="A59" s="4" t="s">
        <v>80</v>
      </c>
      <c r="B59" s="3">
        <v>1440</v>
      </c>
      <c r="C59" s="3">
        <v>1400</v>
      </c>
      <c r="D59" s="1">
        <f t="shared" ref="D59:D65" si="6">C59-B59</f>
        <v>-40</v>
      </c>
      <c r="E59" s="44">
        <f t="shared" ref="E59:E64" si="7">D59/B59</f>
        <v>-2.7777777777777776E-2</v>
      </c>
    </row>
    <row r="60" spans="1:10" x14ac:dyDescent="0.2">
      <c r="A60" s="4" t="s">
        <v>81</v>
      </c>
      <c r="B60" s="3">
        <v>1060</v>
      </c>
      <c r="C60" s="3">
        <v>1300</v>
      </c>
      <c r="D60" s="1">
        <f t="shared" si="6"/>
        <v>240</v>
      </c>
      <c r="E60" s="44">
        <f t="shared" si="7"/>
        <v>0.22641509433962265</v>
      </c>
    </row>
    <row r="61" spans="1:10" x14ac:dyDescent="0.2">
      <c r="A61" s="4" t="s">
        <v>82</v>
      </c>
      <c r="B61" s="3">
        <v>800</v>
      </c>
      <c r="C61" s="3">
        <v>700</v>
      </c>
      <c r="D61" s="1">
        <f t="shared" si="6"/>
        <v>-100</v>
      </c>
      <c r="E61" s="44">
        <f t="shared" si="7"/>
        <v>-0.125</v>
      </c>
    </row>
    <row r="62" spans="1:10" x14ac:dyDescent="0.2">
      <c r="A62" s="6" t="s">
        <v>83</v>
      </c>
      <c r="B62" s="1">
        <f>B59+B60</f>
        <v>2500</v>
      </c>
      <c r="C62" s="1">
        <f>C59+C60</f>
        <v>2700</v>
      </c>
      <c r="D62" s="1">
        <f t="shared" si="6"/>
        <v>200</v>
      </c>
      <c r="E62" s="44">
        <f t="shared" si="7"/>
        <v>0.08</v>
      </c>
    </row>
    <row r="63" spans="1:10" x14ac:dyDescent="0.2">
      <c r="A63" s="6" t="s">
        <v>84</v>
      </c>
      <c r="B63" s="1">
        <f>B58+B61</f>
        <v>2500</v>
      </c>
      <c r="C63" s="1">
        <f>C58+C61</f>
        <v>2700</v>
      </c>
      <c r="D63" s="1">
        <f t="shared" si="6"/>
        <v>200</v>
      </c>
      <c r="E63" s="44">
        <f t="shared" si="7"/>
        <v>0.08</v>
      </c>
    </row>
    <row r="64" spans="1:10" x14ac:dyDescent="0.2">
      <c r="A64" s="1" t="s">
        <v>87</v>
      </c>
      <c r="B64" s="1">
        <f>B58-B59</f>
        <v>260</v>
      </c>
      <c r="C64" s="1">
        <f>C58-C59</f>
        <v>600</v>
      </c>
      <c r="D64" s="1">
        <f t="shared" si="6"/>
        <v>340</v>
      </c>
      <c r="E64" s="44">
        <f t="shared" si="7"/>
        <v>1.3076923076923077</v>
      </c>
    </row>
    <row r="65" spans="1:9" x14ac:dyDescent="0.2">
      <c r="A65" s="1" t="s">
        <v>88</v>
      </c>
      <c r="B65" s="43">
        <f>B64/B60</f>
        <v>0.24528301886792453</v>
      </c>
      <c r="C65" s="43">
        <f>C64/C60</f>
        <v>0.46153846153846156</v>
      </c>
      <c r="D65" s="43">
        <f t="shared" si="6"/>
        <v>0.21625544267053703</v>
      </c>
      <c r="E65" s="44"/>
      <c r="F65" t="s">
        <v>89</v>
      </c>
    </row>
    <row r="66" spans="1:9" x14ac:dyDescent="0.2">
      <c r="A66" s="1"/>
      <c r="B66" s="1"/>
      <c r="C66" s="1"/>
      <c r="D66" s="1"/>
      <c r="E66" s="1"/>
    </row>
    <row r="68" spans="1:9" ht="33.75" customHeight="1" x14ac:dyDescent="0.2">
      <c r="A68" s="272" t="s">
        <v>90</v>
      </c>
      <c r="B68" s="272"/>
      <c r="C68" s="272"/>
      <c r="D68" s="272"/>
      <c r="E68" s="272"/>
      <c r="F68" s="272"/>
      <c r="G68" s="272"/>
      <c r="H68" s="272"/>
      <c r="I68" s="272"/>
    </row>
    <row r="69" spans="1:9" x14ac:dyDescent="0.2">
      <c r="A69" s="4" t="s">
        <v>91</v>
      </c>
      <c r="B69" s="3" t="s">
        <v>92</v>
      </c>
    </row>
    <row r="70" spans="1:9" ht="26" x14ac:dyDescent="0.2">
      <c r="A70" s="4" t="s">
        <v>93</v>
      </c>
      <c r="B70" s="3">
        <v>1500</v>
      </c>
    </row>
    <row r="71" spans="1:9" x14ac:dyDescent="0.2">
      <c r="A71" s="4" t="s">
        <v>94</v>
      </c>
      <c r="B71" s="3">
        <v>1090</v>
      </c>
    </row>
    <row r="72" spans="1:9" ht="26" x14ac:dyDescent="0.2">
      <c r="A72" s="4" t="s">
        <v>95</v>
      </c>
      <c r="B72" s="3">
        <v>205</v>
      </c>
    </row>
    <row r="73" spans="1:9" ht="26" x14ac:dyDescent="0.2">
      <c r="A73" s="4" t="s">
        <v>96</v>
      </c>
      <c r="B73" s="3">
        <v>2150</v>
      </c>
    </row>
    <row r="74" spans="1:9" x14ac:dyDescent="0.2">
      <c r="A74" s="4" t="s">
        <v>97</v>
      </c>
      <c r="B74" s="3">
        <v>100</v>
      </c>
    </row>
    <row r="75" spans="1:9" ht="27" thickBot="1" x14ac:dyDescent="0.25">
      <c r="A75" s="4" t="s">
        <v>98</v>
      </c>
      <c r="B75" s="3">
        <v>320</v>
      </c>
    </row>
    <row r="76" spans="1:9" ht="16" thickBot="1" x14ac:dyDescent="0.25">
      <c r="A76" s="45" t="s">
        <v>99</v>
      </c>
      <c r="B76" s="46">
        <f>B71+B72</f>
        <v>1295</v>
      </c>
    </row>
    <row r="77" spans="1:9" ht="27" thickBot="1" x14ac:dyDescent="0.25">
      <c r="A77" s="47" t="s">
        <v>100</v>
      </c>
      <c r="B77" s="48">
        <f>B73-B70</f>
        <v>650</v>
      </c>
    </row>
    <row r="78" spans="1:9" ht="16" thickBot="1" x14ac:dyDescent="0.25">
      <c r="A78" s="47" t="s">
        <v>101</v>
      </c>
      <c r="B78" s="48">
        <f>B77+B74</f>
        <v>750</v>
      </c>
    </row>
    <row r="79" spans="1:9" ht="53" thickBot="1" x14ac:dyDescent="0.25">
      <c r="A79" s="47" t="s">
        <v>102</v>
      </c>
      <c r="B79" s="48">
        <f>B78+B75</f>
        <v>1070</v>
      </c>
      <c r="C79" s="52" t="s">
        <v>116</v>
      </c>
      <c r="D79" s="45" t="s">
        <v>106</v>
      </c>
      <c r="E79" s="49" t="s">
        <v>107</v>
      </c>
    </row>
    <row r="80" spans="1:9" ht="53" thickBot="1" x14ac:dyDescent="0.25">
      <c r="A80" s="47" t="s">
        <v>103</v>
      </c>
      <c r="B80" s="48">
        <f>B77-B76</f>
        <v>-645</v>
      </c>
      <c r="C80" s="52">
        <v>0</v>
      </c>
      <c r="D80" s="47" t="s">
        <v>108</v>
      </c>
      <c r="E80" s="51" t="s">
        <v>109</v>
      </c>
    </row>
    <row r="81" spans="1:8" ht="53" thickBot="1" x14ac:dyDescent="0.25">
      <c r="A81" s="47" t="s">
        <v>104</v>
      </c>
      <c r="B81" s="48">
        <f>B78-B76</f>
        <v>-545</v>
      </c>
      <c r="C81" s="52">
        <v>0</v>
      </c>
      <c r="D81" s="47" t="s">
        <v>110</v>
      </c>
      <c r="E81" s="51" t="s">
        <v>111</v>
      </c>
    </row>
    <row r="82" spans="1:8" ht="40" thickBot="1" x14ac:dyDescent="0.25">
      <c r="A82" s="47" t="s">
        <v>105</v>
      </c>
      <c r="B82" s="48">
        <f>B79-B76</f>
        <v>-225</v>
      </c>
      <c r="C82" s="52">
        <v>0</v>
      </c>
      <c r="D82" s="47" t="s">
        <v>112</v>
      </c>
      <c r="E82" s="51" t="s">
        <v>113</v>
      </c>
    </row>
    <row r="83" spans="1:8" ht="40" thickBot="1" x14ac:dyDescent="0.25">
      <c r="C83" s="52" t="s">
        <v>117</v>
      </c>
      <c r="D83" s="47" t="s">
        <v>114</v>
      </c>
      <c r="E83" s="50" t="s">
        <v>115</v>
      </c>
    </row>
    <row r="85" spans="1:8" ht="37.5" customHeight="1" x14ac:dyDescent="0.2">
      <c r="A85" s="292" t="s">
        <v>118</v>
      </c>
      <c r="B85" s="292"/>
      <c r="C85" s="292"/>
      <c r="D85" s="292"/>
      <c r="E85" s="292"/>
      <c r="F85" s="292"/>
      <c r="G85" s="292"/>
      <c r="H85" s="292"/>
    </row>
    <row r="86" spans="1:8" x14ac:dyDescent="0.2">
      <c r="A86" s="293" t="s">
        <v>119</v>
      </c>
      <c r="B86" s="294" t="s">
        <v>120</v>
      </c>
      <c r="C86" s="294"/>
      <c r="D86" s="1"/>
      <c r="E86" s="1"/>
    </row>
    <row r="87" spans="1:8" x14ac:dyDescent="0.2">
      <c r="A87" s="293"/>
      <c r="B87" s="3" t="s">
        <v>78</v>
      </c>
      <c r="C87" s="3" t="s">
        <v>79</v>
      </c>
      <c r="D87" s="1" t="s">
        <v>128</v>
      </c>
      <c r="E87" s="1" t="s">
        <v>86</v>
      </c>
    </row>
    <row r="88" spans="1:8" x14ac:dyDescent="0.2">
      <c r="A88" s="4" t="s">
        <v>121</v>
      </c>
      <c r="B88" s="3">
        <v>16360</v>
      </c>
      <c r="C88" s="54">
        <v>19900</v>
      </c>
      <c r="D88" s="62">
        <f>C88-B88</f>
        <v>3540</v>
      </c>
      <c r="E88" s="44">
        <f>D88/B88</f>
        <v>0.21638141809290953</v>
      </c>
    </row>
    <row r="89" spans="1:8" x14ac:dyDescent="0.2">
      <c r="A89" s="55" t="s">
        <v>122</v>
      </c>
      <c r="B89" s="3">
        <v>668</v>
      </c>
      <c r="C89" s="3">
        <v>764</v>
      </c>
      <c r="D89" s="62">
        <f t="shared" ref="D89:D102" si="8">C89-B89</f>
        <v>96</v>
      </c>
      <c r="E89" s="44">
        <f t="shared" ref="E89:E97" si="9">D89/B89</f>
        <v>0.1437125748502994</v>
      </c>
    </row>
    <row r="90" spans="1:8" ht="26" x14ac:dyDescent="0.2">
      <c r="A90" s="4" t="s">
        <v>126</v>
      </c>
      <c r="B90" s="3">
        <v>4708</v>
      </c>
      <c r="C90" s="3">
        <v>6512</v>
      </c>
      <c r="D90" s="62">
        <f t="shared" si="8"/>
        <v>1804</v>
      </c>
      <c r="E90" s="44">
        <f t="shared" si="9"/>
        <v>0.38317757009345793</v>
      </c>
    </row>
    <row r="91" spans="1:8" x14ac:dyDescent="0.2">
      <c r="A91" s="55" t="s">
        <v>123</v>
      </c>
      <c r="B91" s="3">
        <v>470</v>
      </c>
      <c r="C91" s="3">
        <v>860</v>
      </c>
      <c r="D91" s="62">
        <f t="shared" si="8"/>
        <v>390</v>
      </c>
      <c r="E91" s="65">
        <f t="shared" si="9"/>
        <v>0.82978723404255317</v>
      </c>
    </row>
    <row r="92" spans="1:8" x14ac:dyDescent="0.2">
      <c r="A92" s="4" t="s">
        <v>124</v>
      </c>
      <c r="B92" s="3">
        <v>9784</v>
      </c>
      <c r="C92" s="54">
        <v>10900</v>
      </c>
      <c r="D92" s="62">
        <f t="shared" si="8"/>
        <v>1116</v>
      </c>
      <c r="E92" s="44">
        <f t="shared" si="9"/>
        <v>0.11406377759607522</v>
      </c>
    </row>
    <row r="93" spans="1:8" x14ac:dyDescent="0.2">
      <c r="A93" s="55" t="s">
        <v>125</v>
      </c>
      <c r="B93" s="3">
        <v>1200</v>
      </c>
      <c r="C93" s="3">
        <v>1355</v>
      </c>
      <c r="D93" s="62">
        <f t="shared" si="8"/>
        <v>155</v>
      </c>
      <c r="E93" s="65">
        <f t="shared" si="9"/>
        <v>0.12916666666666668</v>
      </c>
    </row>
    <row r="94" spans="1:8" ht="26" x14ac:dyDescent="0.2">
      <c r="A94" s="4" t="s">
        <v>95</v>
      </c>
      <c r="B94" s="3">
        <v>700</v>
      </c>
      <c r="C94" s="3">
        <v>924</v>
      </c>
      <c r="D94" s="62">
        <f t="shared" si="8"/>
        <v>224</v>
      </c>
      <c r="E94" s="44">
        <f t="shared" si="9"/>
        <v>0.32</v>
      </c>
    </row>
    <row r="95" spans="1:8" x14ac:dyDescent="0.2">
      <c r="A95" s="4" t="s">
        <v>82</v>
      </c>
      <c r="B95" s="3">
        <v>5120</v>
      </c>
      <c r="C95" s="3">
        <v>9600</v>
      </c>
      <c r="D95" s="62">
        <f t="shared" si="8"/>
        <v>4480</v>
      </c>
      <c r="E95" s="64">
        <f t="shared" si="9"/>
        <v>0.875</v>
      </c>
    </row>
    <row r="96" spans="1:8" x14ac:dyDescent="0.2">
      <c r="A96" s="4" t="s">
        <v>137</v>
      </c>
      <c r="B96" s="3">
        <f>B89+B90+B92+B94</f>
        <v>15860</v>
      </c>
      <c r="C96" s="3">
        <f>C89+C90+C92+C94</f>
        <v>19100</v>
      </c>
      <c r="D96" s="62">
        <f t="shared" si="8"/>
        <v>3240</v>
      </c>
      <c r="E96" s="44">
        <f t="shared" si="9"/>
        <v>0.20428751576292559</v>
      </c>
    </row>
    <row r="97" spans="1:6" ht="16" thickBot="1" x14ac:dyDescent="0.25">
      <c r="A97" s="8" t="s">
        <v>138</v>
      </c>
      <c r="B97" s="58">
        <f>B88-B96</f>
        <v>500</v>
      </c>
      <c r="C97" s="58">
        <f>C88-C96</f>
        <v>800</v>
      </c>
      <c r="D97" s="62">
        <f t="shared" si="8"/>
        <v>300</v>
      </c>
      <c r="E97" s="44">
        <f t="shared" si="9"/>
        <v>0.6</v>
      </c>
    </row>
    <row r="98" spans="1:6" ht="105" thickBot="1" x14ac:dyDescent="0.25">
      <c r="A98" s="6" t="s">
        <v>127</v>
      </c>
      <c r="B98" s="61">
        <f>B89/B95</f>
        <v>0.13046874999999999</v>
      </c>
      <c r="C98" s="61">
        <f>C89/C95</f>
        <v>7.9583333333333339E-2</v>
      </c>
      <c r="D98" s="63">
        <f t="shared" si="8"/>
        <v>-5.0885416666666655E-2</v>
      </c>
      <c r="E98" s="53" t="s">
        <v>129</v>
      </c>
      <c r="F98" s="41" t="s">
        <v>134</v>
      </c>
    </row>
    <row r="99" spans="1:6" ht="184" thickBot="1" x14ac:dyDescent="0.25">
      <c r="A99" s="56" t="s">
        <v>130</v>
      </c>
      <c r="B99" s="35">
        <f>(B89+B90)/B95</f>
        <v>1.05</v>
      </c>
      <c r="C99" s="60">
        <f>(C89+C90)/C95</f>
        <v>0.75791666666666668</v>
      </c>
      <c r="D99" s="63">
        <f t="shared" si="8"/>
        <v>-0.29208333333333336</v>
      </c>
      <c r="E99" s="56" t="s">
        <v>131</v>
      </c>
      <c r="F99" s="57" t="s">
        <v>135</v>
      </c>
    </row>
    <row r="100" spans="1:6" ht="136" thickBot="1" x14ac:dyDescent="0.25">
      <c r="A100" s="56" t="s">
        <v>132</v>
      </c>
      <c r="B100" s="59">
        <f>(B88-B97)/B95</f>
        <v>3.09765625</v>
      </c>
      <c r="C100" s="59">
        <f>(C88-C97)/C95</f>
        <v>1.9895833333333333</v>
      </c>
      <c r="D100" s="63">
        <f t="shared" si="8"/>
        <v>-1.1080729166666667</v>
      </c>
      <c r="E100" s="7" t="s">
        <v>133</v>
      </c>
      <c r="F100" s="57" t="s">
        <v>136</v>
      </c>
    </row>
    <row r="101" spans="1:6" ht="41" thickBot="1" x14ac:dyDescent="0.25">
      <c r="A101" s="56" t="s">
        <v>139</v>
      </c>
      <c r="B101" s="59">
        <f>(B89+B90-B91)/B95</f>
        <v>0.95820312500000004</v>
      </c>
      <c r="C101" s="59">
        <f>(C89+C90-C91)/C95</f>
        <v>0.66833333333333333</v>
      </c>
      <c r="D101" s="63">
        <f t="shared" si="8"/>
        <v>-0.28986979166666671</v>
      </c>
      <c r="E101" s="1"/>
      <c r="F101" s="57" t="s">
        <v>135</v>
      </c>
    </row>
    <row r="102" spans="1:6" ht="41" thickBot="1" x14ac:dyDescent="0.25">
      <c r="A102" s="56" t="s">
        <v>140</v>
      </c>
      <c r="B102" s="60">
        <f>(B88-B97-B93-B91)/B95</f>
        <v>2.771484375</v>
      </c>
      <c r="C102" s="60">
        <f>(C88-C97-C93-C91)/C95</f>
        <v>1.7588541666666666</v>
      </c>
      <c r="D102" s="63">
        <f t="shared" si="8"/>
        <v>-1.0126302083333334</v>
      </c>
      <c r="E102" s="1"/>
      <c r="F102" s="57" t="s">
        <v>136</v>
      </c>
    </row>
    <row r="103" spans="1:6" x14ac:dyDescent="0.2">
      <c r="A103" s="1"/>
      <c r="B103" s="1"/>
      <c r="C103" s="1"/>
      <c r="D103" s="1"/>
      <c r="E103" s="1"/>
    </row>
    <row r="105" spans="1:6" ht="25.5" customHeight="1" x14ac:dyDescent="0.2">
      <c r="A105" s="301" t="s">
        <v>145</v>
      </c>
      <c r="B105" s="272"/>
      <c r="C105" s="272"/>
      <c r="D105" s="272"/>
      <c r="E105" s="272"/>
    </row>
    <row r="106" spans="1:6" ht="26" x14ac:dyDescent="0.2">
      <c r="A106" s="16" t="s">
        <v>91</v>
      </c>
      <c r="B106" s="16" t="s">
        <v>141</v>
      </c>
      <c r="C106" s="16" t="s">
        <v>142</v>
      </c>
      <c r="D106" s="1" t="s">
        <v>149</v>
      </c>
    </row>
    <row r="107" spans="1:6" x14ac:dyDescent="0.2">
      <c r="A107" s="16" t="s">
        <v>143</v>
      </c>
      <c r="B107" s="16">
        <f>B109*B112</f>
        <v>32500</v>
      </c>
      <c r="C107" s="16">
        <f>B107+D107</f>
        <v>42500</v>
      </c>
      <c r="D107" s="1">
        <v>10000</v>
      </c>
      <c r="E107" t="s">
        <v>150</v>
      </c>
    </row>
    <row r="108" spans="1:6" x14ac:dyDescent="0.2">
      <c r="A108" s="55" t="s">
        <v>144</v>
      </c>
      <c r="B108" s="16">
        <f>B107-B113*B109</f>
        <v>13000</v>
      </c>
      <c r="C108" s="16">
        <f>B108+D108</f>
        <v>15500</v>
      </c>
      <c r="D108" s="1">
        <v>2500</v>
      </c>
    </row>
    <row r="109" spans="1:6" x14ac:dyDescent="0.2">
      <c r="A109" s="16" t="s">
        <v>82</v>
      </c>
      <c r="B109" s="16">
        <v>26000</v>
      </c>
      <c r="C109" s="66">
        <v>39000</v>
      </c>
      <c r="D109" s="1"/>
    </row>
    <row r="110" spans="1:6" ht="26" x14ac:dyDescent="0.2">
      <c r="A110" s="16" t="s">
        <v>132</v>
      </c>
      <c r="B110" s="16">
        <v>1.25</v>
      </c>
      <c r="C110" s="70">
        <f>C107/C109</f>
        <v>1.0897435897435896</v>
      </c>
      <c r="D110" s="43">
        <f>C110-B110</f>
        <v>-0.16025641025641035</v>
      </c>
    </row>
    <row r="111" spans="1:6" ht="26" x14ac:dyDescent="0.2">
      <c r="A111" s="16" t="s">
        <v>146</v>
      </c>
      <c r="B111" s="16">
        <v>0.75</v>
      </c>
      <c r="C111" s="70">
        <f>(C107-C108)/C109</f>
        <v>0.69230769230769229</v>
      </c>
      <c r="D111" s="43">
        <f>C111-B111</f>
        <v>-5.7692307692307709E-2</v>
      </c>
    </row>
    <row r="112" spans="1:6" ht="33.75" customHeight="1" x14ac:dyDescent="0.2">
      <c r="A112" s="16" t="s">
        <v>147</v>
      </c>
      <c r="B112" s="17">
        <f>B110</f>
        <v>1.25</v>
      </c>
      <c r="C112" s="67"/>
      <c r="D112" s="68"/>
    </row>
    <row r="113" spans="1:6" ht="79" x14ac:dyDescent="0.2">
      <c r="A113" s="56" t="s">
        <v>148</v>
      </c>
      <c r="B113" s="69">
        <f>B111</f>
        <v>0.75</v>
      </c>
      <c r="C113" s="18" t="s">
        <v>151</v>
      </c>
      <c r="D113" t="s">
        <v>152</v>
      </c>
    </row>
    <row r="115" spans="1:6" ht="27" customHeight="1" x14ac:dyDescent="0.2">
      <c r="A115" s="302" t="s">
        <v>153</v>
      </c>
      <c r="B115" s="272"/>
      <c r="C115" s="272"/>
      <c r="D115" s="272"/>
      <c r="E115" s="272"/>
      <c r="F115" s="272"/>
    </row>
    <row r="116" spans="1:6" ht="39" x14ac:dyDescent="0.2">
      <c r="A116" s="71" t="s">
        <v>0</v>
      </c>
      <c r="B116" s="16" t="s">
        <v>154</v>
      </c>
      <c r="C116" s="16" t="s">
        <v>155</v>
      </c>
      <c r="D116" s="1" t="s">
        <v>162</v>
      </c>
      <c r="E116" s="1" t="s">
        <v>86</v>
      </c>
    </row>
    <row r="117" spans="1:6" x14ac:dyDescent="0.2">
      <c r="A117" s="16" t="s">
        <v>156</v>
      </c>
      <c r="B117" s="17">
        <v>1380</v>
      </c>
      <c r="C117" s="17">
        <v>1260</v>
      </c>
      <c r="D117" s="1">
        <f>C117-B117</f>
        <v>-120</v>
      </c>
      <c r="E117" s="44">
        <f>D117/B117</f>
        <v>-8.6956521739130432E-2</v>
      </c>
    </row>
    <row r="118" spans="1:6" x14ac:dyDescent="0.2">
      <c r="A118" s="16" t="s">
        <v>157</v>
      </c>
      <c r="B118" s="17">
        <v>1240</v>
      </c>
      <c r="C118" s="17">
        <v>1150</v>
      </c>
      <c r="D118" s="1">
        <f t="shared" ref="D118:D122" si="10">C118-B118</f>
        <v>-90</v>
      </c>
      <c r="E118" s="44">
        <f t="shared" ref="E118:E121" si="11">D118/B118</f>
        <v>-7.2580645161290328E-2</v>
      </c>
    </row>
    <row r="119" spans="1:6" x14ac:dyDescent="0.2">
      <c r="A119" s="16" t="s">
        <v>158</v>
      </c>
      <c r="B119" s="17">
        <v>6500</v>
      </c>
      <c r="C119" s="58">
        <f>B119+D121</f>
        <v>6398</v>
      </c>
      <c r="D119" s="2">
        <f>C119-B119</f>
        <v>-102</v>
      </c>
      <c r="E119" s="44">
        <f t="shared" si="11"/>
        <v>-1.5692307692307693E-2</v>
      </c>
    </row>
    <row r="120" spans="1:6" x14ac:dyDescent="0.2">
      <c r="A120" s="1" t="s">
        <v>161</v>
      </c>
      <c r="B120" s="1">
        <f>B118*0.2</f>
        <v>248</v>
      </c>
      <c r="C120" s="1">
        <f>C118*0.2</f>
        <v>230</v>
      </c>
      <c r="D120" s="1">
        <f t="shared" si="10"/>
        <v>-18</v>
      </c>
      <c r="E120" s="44">
        <f t="shared" si="11"/>
        <v>-7.2580645161290328E-2</v>
      </c>
    </row>
    <row r="121" spans="1:6" x14ac:dyDescent="0.2">
      <c r="A121" s="1" t="s">
        <v>160</v>
      </c>
      <c r="B121" s="1">
        <f>B117-B120</f>
        <v>1132</v>
      </c>
      <c r="C121" s="1">
        <f>C117-C120</f>
        <v>1030</v>
      </c>
      <c r="D121" s="2">
        <f t="shared" si="10"/>
        <v>-102</v>
      </c>
      <c r="E121" s="44">
        <f t="shared" si="11"/>
        <v>-9.0106007067137811E-2</v>
      </c>
    </row>
    <row r="122" spans="1:6" x14ac:dyDescent="0.2">
      <c r="A122" s="1" t="s">
        <v>159</v>
      </c>
      <c r="B122" s="44">
        <f>B121/B119</f>
        <v>0.17415384615384616</v>
      </c>
      <c r="C122" s="44">
        <f>C121/C119</f>
        <v>0.1609878086902157</v>
      </c>
      <c r="D122" s="44">
        <f t="shared" si="10"/>
        <v>-1.3166037463630459E-2</v>
      </c>
      <c r="E122" s="44"/>
    </row>
    <row r="123" spans="1:6" x14ac:dyDescent="0.2">
      <c r="A123" s="1"/>
      <c r="B123" s="1"/>
      <c r="C123" s="1"/>
      <c r="D123" s="1"/>
      <c r="E123" s="1"/>
    </row>
    <row r="125" spans="1:6" ht="60" customHeight="1" x14ac:dyDescent="0.2">
      <c r="A125" s="272" t="s">
        <v>163</v>
      </c>
      <c r="B125" s="272"/>
      <c r="C125" s="272"/>
      <c r="D125" s="272"/>
      <c r="E125" s="272"/>
      <c r="F125" s="272"/>
    </row>
    <row r="126" spans="1:6" ht="25.5" customHeight="1" x14ac:dyDescent="0.2">
      <c r="A126" s="293" t="s">
        <v>91</v>
      </c>
      <c r="B126" s="293" t="s">
        <v>164</v>
      </c>
      <c r="C126" s="293"/>
    </row>
    <row r="127" spans="1:6" ht="52" x14ac:dyDescent="0.2">
      <c r="A127" s="293"/>
      <c r="B127" s="16" t="s">
        <v>165</v>
      </c>
      <c r="C127" s="16" t="s">
        <v>166</v>
      </c>
      <c r="D127" s="1" t="s">
        <v>174</v>
      </c>
      <c r="E127" s="1" t="s">
        <v>86</v>
      </c>
    </row>
    <row r="128" spans="1:6" x14ac:dyDescent="0.2">
      <c r="A128" s="16" t="s">
        <v>167</v>
      </c>
      <c r="B128" s="54">
        <v>258710</v>
      </c>
      <c r="C128" s="54">
        <v>272708</v>
      </c>
      <c r="D128" s="62">
        <f>C128-B128</f>
        <v>13998</v>
      </c>
      <c r="E128" s="44">
        <f>D128/B128</f>
        <v>5.4106915078659501E-2</v>
      </c>
    </row>
    <row r="129" spans="1:7" ht="26" x14ac:dyDescent="0.2">
      <c r="A129" s="16" t="s">
        <v>168</v>
      </c>
      <c r="B129" s="54">
        <v>103396</v>
      </c>
      <c r="C129" s="54">
        <v>98510</v>
      </c>
      <c r="D129" s="62">
        <f t="shared" ref="D129:D134" si="12">C129-B129</f>
        <v>-4886</v>
      </c>
      <c r="E129" s="44">
        <f t="shared" ref="E129:E134" si="13">D129/B129</f>
        <v>-4.7255212967619635E-2</v>
      </c>
    </row>
    <row r="130" spans="1:7" ht="39" x14ac:dyDescent="0.2">
      <c r="A130" s="16" t="s">
        <v>169</v>
      </c>
      <c r="B130" s="54">
        <v>15432</v>
      </c>
      <c r="C130" s="54">
        <v>14505</v>
      </c>
      <c r="D130" s="62">
        <f t="shared" si="12"/>
        <v>-927</v>
      </c>
      <c r="E130" s="44">
        <f t="shared" si="13"/>
        <v>-6.0069984447900467E-2</v>
      </c>
    </row>
    <row r="131" spans="1:7" ht="26" x14ac:dyDescent="0.2">
      <c r="A131" s="16" t="s">
        <v>170</v>
      </c>
      <c r="B131" s="298">
        <v>29025</v>
      </c>
      <c r="C131" s="298">
        <v>25095</v>
      </c>
      <c r="D131" s="62">
        <f t="shared" si="12"/>
        <v>-3930</v>
      </c>
      <c r="E131" s="44">
        <f>D131/B131</f>
        <v>-0.13540051679586562</v>
      </c>
    </row>
    <row r="132" spans="1:7" ht="26" x14ac:dyDescent="0.2">
      <c r="A132" s="16" t="s">
        <v>171</v>
      </c>
      <c r="B132" s="298"/>
      <c r="C132" s="298"/>
      <c r="D132" s="62"/>
      <c r="E132" s="44"/>
    </row>
    <row r="133" spans="1:7" x14ac:dyDescent="0.2">
      <c r="A133" s="6" t="s">
        <v>173</v>
      </c>
      <c r="B133" s="62">
        <f>B128-B129-B130-B131</f>
        <v>110857</v>
      </c>
      <c r="C133" s="62">
        <f>C128-C129-C130-C131</f>
        <v>134598</v>
      </c>
      <c r="D133" s="62">
        <f t="shared" si="12"/>
        <v>23741</v>
      </c>
      <c r="E133" s="44">
        <f t="shared" si="13"/>
        <v>0.2141587811324499</v>
      </c>
    </row>
    <row r="134" spans="1:7" ht="26" x14ac:dyDescent="0.2">
      <c r="A134" s="6" t="s">
        <v>172</v>
      </c>
      <c r="B134" s="44">
        <f>B133/B128</f>
        <v>0.42849909164701788</v>
      </c>
      <c r="C134" s="44">
        <f>C133/C128</f>
        <v>0.49356087830206669</v>
      </c>
      <c r="D134" s="44">
        <f t="shared" si="12"/>
        <v>6.5061786655048803E-2</v>
      </c>
      <c r="E134" s="44">
        <f t="shared" si="13"/>
        <v>0.15183646342159426</v>
      </c>
    </row>
    <row r="135" spans="1:7" x14ac:dyDescent="0.2">
      <c r="A135" s="6" t="s">
        <v>175</v>
      </c>
      <c r="B135" s="1"/>
      <c r="C135" s="1"/>
      <c r="D135" s="44">
        <f>-D131/C128</f>
        <v>1.441101837863209E-2</v>
      </c>
      <c r="E135" s="1"/>
    </row>
    <row r="137" spans="1:7" ht="85" customHeight="1" x14ac:dyDescent="0.2">
      <c r="A137" s="299" t="s">
        <v>176</v>
      </c>
      <c r="B137" s="299"/>
      <c r="C137" s="299"/>
      <c r="D137" s="299"/>
      <c r="E137" s="299"/>
      <c r="F137" s="299"/>
      <c r="G137" s="299"/>
    </row>
    <row r="138" spans="1:7" x14ac:dyDescent="0.2">
      <c r="A138" s="1" t="s">
        <v>0</v>
      </c>
      <c r="B138" s="1">
        <v>1</v>
      </c>
      <c r="C138" s="1">
        <v>2</v>
      </c>
      <c r="D138" s="1" t="s">
        <v>185</v>
      </c>
      <c r="E138" s="1" t="s">
        <v>186</v>
      </c>
    </row>
    <row r="139" spans="1:7" x14ac:dyDescent="0.2">
      <c r="A139" s="7" t="s">
        <v>177</v>
      </c>
      <c r="B139" s="1">
        <v>250000</v>
      </c>
      <c r="C139" s="1">
        <f>B139</f>
        <v>250000</v>
      </c>
      <c r="D139" s="1">
        <f>C139-B139</f>
        <v>0</v>
      </c>
      <c r="E139" s="44">
        <f>D139/B139</f>
        <v>0</v>
      </c>
    </row>
    <row r="140" spans="1:7" x14ac:dyDescent="0.2">
      <c r="A140" s="7" t="s">
        <v>183</v>
      </c>
      <c r="B140" s="73">
        <v>0.9</v>
      </c>
      <c r="C140" s="73">
        <v>0.86</v>
      </c>
      <c r="D140" s="44">
        <f t="shared" ref="D140:D146" si="14">C140-B140</f>
        <v>-4.0000000000000036E-2</v>
      </c>
      <c r="E140" s="44">
        <f t="shared" ref="E140:E146" si="15">D140/B140</f>
        <v>-4.4444444444444481E-2</v>
      </c>
    </row>
    <row r="141" spans="1:7" x14ac:dyDescent="0.2">
      <c r="A141" s="7" t="s">
        <v>178</v>
      </c>
      <c r="B141" s="1">
        <f>B139*B140</f>
        <v>225000</v>
      </c>
      <c r="C141" s="1">
        <f>C139*C140</f>
        <v>215000</v>
      </c>
      <c r="D141" s="1">
        <f t="shared" si="14"/>
        <v>-10000</v>
      </c>
      <c r="E141" s="44">
        <f t="shared" si="15"/>
        <v>-4.4444444444444446E-2</v>
      </c>
    </row>
    <row r="142" spans="1:7" x14ac:dyDescent="0.2">
      <c r="A142" s="7" t="s">
        <v>179</v>
      </c>
      <c r="B142" s="1">
        <f>B139+B141</f>
        <v>475000</v>
      </c>
      <c r="C142" s="1">
        <f>C139+C141</f>
        <v>465000</v>
      </c>
      <c r="D142" s="1">
        <f t="shared" si="14"/>
        <v>-10000</v>
      </c>
      <c r="E142" s="44">
        <f t="shared" si="15"/>
        <v>-2.1052631578947368E-2</v>
      </c>
    </row>
    <row r="143" spans="1:7" ht="30" x14ac:dyDescent="0.2">
      <c r="A143" s="7" t="s">
        <v>182</v>
      </c>
      <c r="B143" s="72">
        <v>165000</v>
      </c>
      <c r="C143" s="72">
        <v>165000</v>
      </c>
      <c r="D143" s="1">
        <f t="shared" si="14"/>
        <v>0</v>
      </c>
      <c r="E143" s="44">
        <f t="shared" si="15"/>
        <v>0</v>
      </c>
    </row>
    <row r="144" spans="1:7" x14ac:dyDescent="0.2">
      <c r="A144" s="7" t="s">
        <v>180</v>
      </c>
      <c r="B144" s="1">
        <v>55000</v>
      </c>
      <c r="C144" s="1">
        <f>B144*(1-0.25)</f>
        <v>41250</v>
      </c>
      <c r="D144" s="1">
        <f t="shared" si="14"/>
        <v>-13750</v>
      </c>
      <c r="E144" s="44">
        <f t="shared" si="15"/>
        <v>-0.25</v>
      </c>
    </row>
    <row r="145" spans="1:6" x14ac:dyDescent="0.2">
      <c r="A145" s="7" t="s">
        <v>181</v>
      </c>
      <c r="B145" s="1">
        <f>B142-B143-B144-B139</f>
        <v>5000</v>
      </c>
      <c r="C145" s="1">
        <f>C142-C143-C144-C139</f>
        <v>8750</v>
      </c>
      <c r="D145" s="1">
        <f t="shared" si="14"/>
        <v>3750</v>
      </c>
      <c r="E145" s="44">
        <f t="shared" si="15"/>
        <v>0.75</v>
      </c>
    </row>
    <row r="146" spans="1:6" x14ac:dyDescent="0.2">
      <c r="A146" s="74" t="s">
        <v>184</v>
      </c>
      <c r="B146" s="75">
        <f>B145/B142</f>
        <v>1.0526315789473684E-2</v>
      </c>
      <c r="C146" s="75">
        <f>C145/C142</f>
        <v>1.8817204301075269E-2</v>
      </c>
      <c r="D146" s="44">
        <f t="shared" si="14"/>
        <v>8.2908885116015855E-3</v>
      </c>
      <c r="E146" s="44">
        <f t="shared" si="15"/>
        <v>0.78763440860215062</v>
      </c>
    </row>
    <row r="148" spans="1:6" ht="39" customHeight="1" x14ac:dyDescent="0.2">
      <c r="A148" s="300" t="s">
        <v>187</v>
      </c>
      <c r="B148" s="272"/>
      <c r="C148" s="272"/>
      <c r="D148" s="272"/>
      <c r="E148" s="272"/>
      <c r="F148" s="272"/>
    </row>
    <row r="149" spans="1:6" x14ac:dyDescent="0.2">
      <c r="A149" s="16" t="s">
        <v>77</v>
      </c>
      <c r="B149" s="16" t="s">
        <v>188</v>
      </c>
      <c r="C149" s="16" t="s">
        <v>189</v>
      </c>
      <c r="D149" s="6" t="s">
        <v>195</v>
      </c>
      <c r="E149" s="6" t="s">
        <v>196</v>
      </c>
    </row>
    <row r="150" spans="1:6" x14ac:dyDescent="0.2">
      <c r="A150" s="16" t="s">
        <v>190</v>
      </c>
      <c r="B150" s="17">
        <v>290314</v>
      </c>
      <c r="C150" s="54">
        <v>371643</v>
      </c>
      <c r="D150" s="62">
        <f>C150-B150</f>
        <v>81329</v>
      </c>
      <c r="E150" s="44">
        <f>D150/B150</f>
        <v>0.2801415019599468</v>
      </c>
    </row>
    <row r="151" spans="1:6" x14ac:dyDescent="0.2">
      <c r="A151" s="16" t="s">
        <v>191</v>
      </c>
      <c r="B151" s="17">
        <v>215050</v>
      </c>
      <c r="C151" s="54">
        <v>310000</v>
      </c>
      <c r="D151" s="62"/>
      <c r="E151" s="44"/>
    </row>
    <row r="152" spans="1:6" x14ac:dyDescent="0.2">
      <c r="A152" s="16" t="s">
        <v>192</v>
      </c>
      <c r="B152" s="17"/>
      <c r="C152" s="17"/>
      <c r="D152" s="62"/>
      <c r="E152" s="44"/>
    </row>
    <row r="153" spans="1:6" x14ac:dyDescent="0.2">
      <c r="A153" s="55" t="s">
        <v>193</v>
      </c>
      <c r="B153" s="17">
        <v>37683</v>
      </c>
      <c r="C153" s="54">
        <v>49463</v>
      </c>
      <c r="D153" s="62">
        <f t="shared" ref="D153:D156" si="16">C153-B153</f>
        <v>11780</v>
      </c>
      <c r="E153" s="44">
        <f t="shared" ref="E153:E156" si="17">D153/B153</f>
        <v>0.31260780723403125</v>
      </c>
    </row>
    <row r="154" spans="1:6" x14ac:dyDescent="0.2">
      <c r="A154" s="55" t="s">
        <v>194</v>
      </c>
      <c r="B154" s="17">
        <v>36600</v>
      </c>
      <c r="C154" s="54">
        <v>45300</v>
      </c>
      <c r="D154" s="62">
        <f t="shared" si="16"/>
        <v>8700</v>
      </c>
      <c r="E154" s="44">
        <f t="shared" si="17"/>
        <v>0.23770491803278687</v>
      </c>
    </row>
    <row r="155" spans="1:6" ht="52" x14ac:dyDescent="0.2">
      <c r="A155" s="76" t="s">
        <v>197</v>
      </c>
      <c r="B155" s="77">
        <f>365*B153/B150</f>
        <v>47.377305262577764</v>
      </c>
      <c r="C155" s="77">
        <f>365*C153/C150</f>
        <v>48.578864663131014</v>
      </c>
      <c r="D155" s="62">
        <f t="shared" si="16"/>
        <v>1.2015594005532506</v>
      </c>
      <c r="E155" s="44">
        <f t="shared" si="17"/>
        <v>2.5361497322270343E-2</v>
      </c>
    </row>
    <row r="156" spans="1:6" ht="45" x14ac:dyDescent="0.2">
      <c r="A156" s="7" t="s">
        <v>198</v>
      </c>
      <c r="B156" s="77">
        <f>365*B154/B150</f>
        <v>46.015693352714649</v>
      </c>
      <c r="C156" s="77">
        <f>365*C154/C150</f>
        <v>44.490276959340015</v>
      </c>
      <c r="D156" s="62">
        <f t="shared" si="16"/>
        <v>-1.5254163933746341</v>
      </c>
      <c r="E156" s="44">
        <f t="shared" si="17"/>
        <v>-3.3149916522656149E-2</v>
      </c>
    </row>
    <row r="157" spans="1:6" x14ac:dyDescent="0.2">
      <c r="A157" s="85"/>
      <c r="B157" s="86"/>
      <c r="C157" s="86"/>
      <c r="D157" s="87"/>
      <c r="E157" s="88"/>
    </row>
    <row r="158" spans="1:6" x14ac:dyDescent="0.2">
      <c r="A158" s="1"/>
      <c r="B158" s="1"/>
      <c r="C158" s="1" t="s">
        <v>202</v>
      </c>
    </row>
    <row r="159" spans="1:6" x14ac:dyDescent="0.2">
      <c r="A159" s="1" t="s">
        <v>199</v>
      </c>
      <c r="B159" s="73">
        <v>0.14000000000000001</v>
      </c>
      <c r="C159" s="44">
        <f>B159*(1-0.2)</f>
        <v>0.11200000000000002</v>
      </c>
    </row>
    <row r="160" spans="1:6" x14ac:dyDescent="0.2">
      <c r="A160" s="1" t="s">
        <v>200</v>
      </c>
      <c r="B160" s="73">
        <v>0.15</v>
      </c>
      <c r="C160" s="44">
        <f>B160*0.8</f>
        <v>0.12</v>
      </c>
    </row>
    <row r="161" spans="1:5" x14ac:dyDescent="0.2">
      <c r="A161" s="1" t="s">
        <v>201</v>
      </c>
      <c r="B161" s="73">
        <v>0.16</v>
      </c>
      <c r="C161" s="44">
        <f>0.8*0.075*1.8+(0.16-0.075*1.8)</f>
        <v>0.13300000000000001</v>
      </c>
      <c r="D161" t="s">
        <v>203</v>
      </c>
    </row>
    <row r="163" spans="1:5" x14ac:dyDescent="0.2">
      <c r="A163" t="s">
        <v>204</v>
      </c>
    </row>
    <row r="164" spans="1:5" ht="57" customHeight="1" x14ac:dyDescent="0.2">
      <c r="A164" s="272" t="s">
        <v>205</v>
      </c>
      <c r="B164" s="272"/>
      <c r="C164" s="272"/>
      <c r="D164" s="272"/>
      <c r="E164" s="272"/>
    </row>
    <row r="165" spans="1:5" ht="39" x14ac:dyDescent="0.2">
      <c r="A165" s="79" t="s">
        <v>91</v>
      </c>
      <c r="B165" s="80" t="s">
        <v>206</v>
      </c>
      <c r="C165" s="1" t="s">
        <v>217</v>
      </c>
      <c r="D165" t="s">
        <v>3</v>
      </c>
    </row>
    <row r="166" spans="1:5" ht="26" x14ac:dyDescent="0.2">
      <c r="A166" s="79" t="s">
        <v>207</v>
      </c>
      <c r="B166" s="78">
        <v>921000</v>
      </c>
      <c r="C166" s="1"/>
    </row>
    <row r="167" spans="1:5" ht="26" x14ac:dyDescent="0.2">
      <c r="A167" s="79" t="s">
        <v>208</v>
      </c>
      <c r="B167" s="78">
        <v>1050000</v>
      </c>
      <c r="C167" s="1"/>
    </row>
    <row r="168" spans="1:5" ht="26" x14ac:dyDescent="0.2">
      <c r="A168" s="79" t="s">
        <v>209</v>
      </c>
      <c r="B168" s="78">
        <v>954000</v>
      </c>
      <c r="C168" s="1"/>
    </row>
    <row r="169" spans="1:5" x14ac:dyDescent="0.2">
      <c r="A169" s="79" t="s">
        <v>210</v>
      </c>
      <c r="B169" s="78">
        <v>6545000</v>
      </c>
      <c r="C169" s="1"/>
    </row>
    <row r="170" spans="1:5" ht="26" x14ac:dyDescent="0.2">
      <c r="A170" s="79" t="s">
        <v>211</v>
      </c>
      <c r="B170" s="247">
        <v>5200000</v>
      </c>
      <c r="C170" s="1"/>
    </row>
    <row r="171" spans="1:5" ht="52" x14ac:dyDescent="0.2">
      <c r="A171" s="6" t="s">
        <v>213</v>
      </c>
      <c r="B171" s="77">
        <f>365*B166/B169</f>
        <v>51.362108479755541</v>
      </c>
      <c r="C171" s="1">
        <v>44</v>
      </c>
      <c r="D171" s="77">
        <f>B171-C171</f>
        <v>7.3621084797555412</v>
      </c>
    </row>
    <row r="172" spans="1:5" ht="26" x14ac:dyDescent="0.2">
      <c r="A172" s="6" t="s">
        <v>212</v>
      </c>
      <c r="B172" s="77">
        <f>365*B167/B170</f>
        <v>73.70192307692308</v>
      </c>
      <c r="C172" s="1">
        <f>C174-C171</f>
        <v>58</v>
      </c>
      <c r="D172" s="77">
        <f t="shared" ref="D172:D175" si="18">B172-C172</f>
        <v>15.70192307692308</v>
      </c>
    </row>
    <row r="173" spans="1:5" ht="53" thickBot="1" x14ac:dyDescent="0.25">
      <c r="A173" s="6" t="s">
        <v>214</v>
      </c>
      <c r="B173" s="77">
        <f>365*B168/B169</f>
        <v>53.20244461420932</v>
      </c>
      <c r="C173" s="1">
        <v>46</v>
      </c>
      <c r="D173" s="77">
        <f t="shared" si="18"/>
        <v>7.2024446142093197</v>
      </c>
    </row>
    <row r="174" spans="1:5" ht="53" thickBot="1" x14ac:dyDescent="0.25">
      <c r="A174" s="41" t="s">
        <v>215</v>
      </c>
      <c r="B174" s="77">
        <f>B171+B172</f>
        <v>125.06403155667863</v>
      </c>
      <c r="C174" s="1">
        <v>102</v>
      </c>
      <c r="D174" s="77">
        <f t="shared" si="18"/>
        <v>23.064031556678628</v>
      </c>
    </row>
    <row r="175" spans="1:5" ht="79" thickBot="1" x14ac:dyDescent="0.25">
      <c r="A175" s="89" t="s">
        <v>216</v>
      </c>
      <c r="B175" s="77">
        <f>B174-B173</f>
        <v>71.861586942469302</v>
      </c>
      <c r="C175" s="1">
        <f>C174-C173</f>
        <v>56</v>
      </c>
      <c r="D175" s="77">
        <f t="shared" si="18"/>
        <v>15.861586942469302</v>
      </c>
    </row>
    <row r="177" spans="1:6" ht="95.5" customHeight="1" x14ac:dyDescent="0.2">
      <c r="A177" s="303" t="s">
        <v>218</v>
      </c>
      <c r="B177" s="303"/>
      <c r="C177" s="303"/>
      <c r="D177" s="303"/>
      <c r="E177" s="303"/>
    </row>
    <row r="178" spans="1:6" x14ac:dyDescent="0.2">
      <c r="A178" s="6" t="s">
        <v>0</v>
      </c>
      <c r="B178" s="1" t="s">
        <v>219</v>
      </c>
      <c r="C178" s="1" t="s">
        <v>220</v>
      </c>
      <c r="D178" s="1" t="s">
        <v>162</v>
      </c>
      <c r="E178" s="1" t="s">
        <v>86</v>
      </c>
    </row>
    <row r="179" spans="1:6" x14ac:dyDescent="0.2">
      <c r="A179" s="1" t="s">
        <v>221</v>
      </c>
      <c r="B179" s="1">
        <v>1000</v>
      </c>
      <c r="C179" s="1">
        <v>700</v>
      </c>
      <c r="D179" s="1">
        <f>C179-B179</f>
        <v>-300</v>
      </c>
      <c r="E179" s="44">
        <f>D179/B179</f>
        <v>-0.3</v>
      </c>
    </row>
    <row r="180" spans="1:6" x14ac:dyDescent="0.2">
      <c r="A180" s="1" t="s">
        <v>222</v>
      </c>
      <c r="B180" s="1">
        <v>1000</v>
      </c>
      <c r="C180" s="1">
        <f>C179+C181</f>
        <v>810</v>
      </c>
      <c r="D180" s="1">
        <f t="shared" ref="D180:D188" si="19">C180-B180</f>
        <v>-190</v>
      </c>
      <c r="E180" s="44">
        <f t="shared" ref="E180:E187" si="20">D180/B180</f>
        <v>-0.19</v>
      </c>
    </row>
    <row r="181" spans="1:6" x14ac:dyDescent="0.2">
      <c r="A181" s="1" t="s">
        <v>223</v>
      </c>
      <c r="B181" s="1"/>
      <c r="C181" s="1">
        <v>110</v>
      </c>
      <c r="D181" s="1">
        <f t="shared" si="19"/>
        <v>110</v>
      </c>
      <c r="E181" s="44"/>
    </row>
    <row r="182" spans="1:6" x14ac:dyDescent="0.2">
      <c r="A182" s="1" t="s">
        <v>44</v>
      </c>
      <c r="B182" s="1"/>
      <c r="C182" s="1">
        <f>C181*0.2</f>
        <v>22</v>
      </c>
      <c r="D182" s="1">
        <f t="shared" si="19"/>
        <v>22</v>
      </c>
      <c r="E182" s="44"/>
    </row>
    <row r="183" spans="1:6" x14ac:dyDescent="0.2">
      <c r="A183" s="1" t="s">
        <v>224</v>
      </c>
      <c r="B183" s="1">
        <f>B184+B185</f>
        <v>200</v>
      </c>
      <c r="C183" s="1">
        <f>C184+C185</f>
        <v>140</v>
      </c>
      <c r="D183" s="1">
        <f t="shared" si="19"/>
        <v>-60</v>
      </c>
      <c r="E183" s="44">
        <f t="shared" si="20"/>
        <v>-0.3</v>
      </c>
    </row>
    <row r="184" spans="1:6" x14ac:dyDescent="0.2">
      <c r="A184" s="1" t="s">
        <v>225</v>
      </c>
      <c r="B184" s="1">
        <f>B180*0.2</f>
        <v>200</v>
      </c>
      <c r="C184" s="1">
        <f>C180*0.2</f>
        <v>162</v>
      </c>
      <c r="D184" s="1">
        <f t="shared" si="19"/>
        <v>-38</v>
      </c>
      <c r="E184" s="44">
        <f t="shared" si="20"/>
        <v>-0.19</v>
      </c>
      <c r="F184" s="1" t="s">
        <v>230</v>
      </c>
    </row>
    <row r="185" spans="1:6" x14ac:dyDescent="0.2">
      <c r="A185" s="15" t="s">
        <v>226</v>
      </c>
      <c r="B185" s="1"/>
      <c r="C185" s="1">
        <f>0-C182</f>
        <v>-22</v>
      </c>
      <c r="D185" s="1">
        <f t="shared" si="19"/>
        <v>-22</v>
      </c>
      <c r="E185" s="44"/>
    </row>
    <row r="186" spans="1:6" x14ac:dyDescent="0.2">
      <c r="A186" s="1" t="s">
        <v>227</v>
      </c>
      <c r="B186" s="1">
        <f>B179-B183</f>
        <v>800</v>
      </c>
      <c r="C186" s="1">
        <f>C179-C183</f>
        <v>560</v>
      </c>
      <c r="D186" s="1">
        <f t="shared" si="19"/>
        <v>-240</v>
      </c>
      <c r="E186" s="44">
        <f t="shared" si="20"/>
        <v>-0.3</v>
      </c>
    </row>
    <row r="187" spans="1:6" x14ac:dyDescent="0.2">
      <c r="A187" s="1" t="s">
        <v>228</v>
      </c>
      <c r="B187" s="1">
        <v>5600</v>
      </c>
      <c r="C187" s="1">
        <f>B187+D186</f>
        <v>5360</v>
      </c>
      <c r="D187" s="1">
        <f t="shared" si="19"/>
        <v>-240</v>
      </c>
      <c r="E187" s="44">
        <f t="shared" si="20"/>
        <v>-4.2857142857142858E-2</v>
      </c>
    </row>
    <row r="188" spans="1:6" x14ac:dyDescent="0.2">
      <c r="A188" s="1" t="s">
        <v>229</v>
      </c>
      <c r="B188" s="44">
        <f>B186/B187</f>
        <v>0.14285714285714285</v>
      </c>
      <c r="C188" s="44">
        <f>C186/C187</f>
        <v>0.1044776119402985</v>
      </c>
      <c r="D188" s="44">
        <f t="shared" si="19"/>
        <v>-3.8379530916844345E-2</v>
      </c>
      <c r="E188" s="44"/>
    </row>
    <row r="189" spans="1:6" x14ac:dyDescent="0.2">
      <c r="A189" s="1"/>
      <c r="B189" s="1"/>
      <c r="C189" s="1"/>
      <c r="D189" s="1"/>
      <c r="E189" s="1"/>
    </row>
    <row r="190" spans="1:6" ht="82.75" customHeight="1" x14ac:dyDescent="0.2">
      <c r="A190" s="303" t="s">
        <v>231</v>
      </c>
      <c r="B190" s="303"/>
      <c r="C190" s="303"/>
      <c r="D190" s="303"/>
      <c r="E190" s="303"/>
      <c r="F190" s="303"/>
    </row>
    <row r="191" spans="1:6" x14ac:dyDescent="0.2">
      <c r="A191" s="15" t="s">
        <v>0</v>
      </c>
      <c r="B191" s="1">
        <v>1</v>
      </c>
      <c r="C191" s="1">
        <v>2</v>
      </c>
    </row>
    <row r="192" spans="1:6" x14ac:dyDescent="0.2">
      <c r="A192" s="15" t="s">
        <v>232</v>
      </c>
      <c r="B192" s="1"/>
      <c r="C192" s="1">
        <v>59000000</v>
      </c>
    </row>
    <row r="193" spans="1:11" x14ac:dyDescent="0.2">
      <c r="A193" s="15" t="s">
        <v>233</v>
      </c>
      <c r="B193" s="1"/>
      <c r="C193" s="1">
        <f>C192/1.2</f>
        <v>49166666.666666672</v>
      </c>
    </row>
    <row r="194" spans="1:11" x14ac:dyDescent="0.2">
      <c r="A194" s="15" t="s">
        <v>234</v>
      </c>
      <c r="B194" s="1">
        <v>2360000</v>
      </c>
      <c r="C194" s="1">
        <f>B194*(1-0.15)</f>
        <v>2006000</v>
      </c>
    </row>
    <row r="195" spans="1:11" x14ac:dyDescent="0.2">
      <c r="A195" s="15" t="s">
        <v>235</v>
      </c>
      <c r="B195" s="1"/>
      <c r="C195" s="1">
        <f>(B194+C194)/2</f>
        <v>2183000</v>
      </c>
    </row>
    <row r="196" spans="1:11" x14ac:dyDescent="0.2">
      <c r="A196" s="15" t="s">
        <v>236</v>
      </c>
      <c r="B196" s="1"/>
      <c r="C196" s="77">
        <f>365*C195/C193</f>
        <v>16.206</v>
      </c>
    </row>
    <row r="198" spans="1:11" ht="55.75" customHeight="1" x14ac:dyDescent="0.2">
      <c r="A198" s="303" t="s">
        <v>237</v>
      </c>
      <c r="B198" s="303"/>
      <c r="C198" s="303"/>
      <c r="D198" s="303"/>
      <c r="E198" s="303"/>
      <c r="F198" s="303"/>
    </row>
    <row r="199" spans="1:11" x14ac:dyDescent="0.2">
      <c r="A199" s="42" t="s">
        <v>238</v>
      </c>
      <c r="B199" s="90">
        <v>44196</v>
      </c>
      <c r="C199" s="90">
        <v>44561</v>
      </c>
      <c r="D199" t="s">
        <v>217</v>
      </c>
    </row>
    <row r="200" spans="1:11" x14ac:dyDescent="0.2">
      <c r="A200" s="42" t="s">
        <v>239</v>
      </c>
      <c r="B200" s="304">
        <v>1550</v>
      </c>
      <c r="C200" s="304"/>
    </row>
    <row r="201" spans="1:11" x14ac:dyDescent="0.2">
      <c r="A201" s="42" t="s">
        <v>240</v>
      </c>
      <c r="B201" s="42">
        <v>11000</v>
      </c>
      <c r="C201" s="92">
        <v>11900</v>
      </c>
    </row>
    <row r="202" spans="1:11" x14ac:dyDescent="0.2">
      <c r="A202" s="42" t="s">
        <v>241</v>
      </c>
      <c r="B202" s="42">
        <v>1300</v>
      </c>
      <c r="C202" s="42">
        <v>1450</v>
      </c>
    </row>
    <row r="203" spans="1:11" x14ac:dyDescent="0.2">
      <c r="A203" s="1" t="s">
        <v>242</v>
      </c>
      <c r="B203" s="1"/>
      <c r="C203" s="1">
        <f>(B201+C201)/2</f>
        <v>11450</v>
      </c>
    </row>
    <row r="204" spans="1:11" ht="30" x14ac:dyDescent="0.2">
      <c r="A204" s="7" t="s">
        <v>243</v>
      </c>
      <c r="B204" s="1"/>
      <c r="C204" s="1">
        <f>((C201-C202+B202)+B201)/2</f>
        <v>11375</v>
      </c>
    </row>
    <row r="205" spans="1:11" x14ac:dyDescent="0.2">
      <c r="A205" s="1" t="s">
        <v>244</v>
      </c>
      <c r="B205" s="1"/>
      <c r="C205" s="75">
        <f>B200/C203</f>
        <v>0.13537117903930132</v>
      </c>
      <c r="D205" s="93">
        <v>0.13059999999999999</v>
      </c>
      <c r="E205" s="93">
        <f>C205-D205</f>
        <v>4.7711790393013265E-3</v>
      </c>
    </row>
    <row r="206" spans="1:11" x14ac:dyDescent="0.2">
      <c r="A206" s="1" t="s">
        <v>245</v>
      </c>
      <c r="B206" s="1"/>
      <c r="C206" s="75">
        <f>B200/C204</f>
        <v>0.13626373626373625</v>
      </c>
      <c r="E206" s="93">
        <f>C206-D205</f>
        <v>5.6637362637362576E-3</v>
      </c>
    </row>
    <row r="208" spans="1:11" ht="80" customHeight="1" x14ac:dyDescent="0.2">
      <c r="A208" s="272" t="s">
        <v>246</v>
      </c>
      <c r="B208" s="272"/>
      <c r="C208" s="272"/>
      <c r="D208" s="272"/>
      <c r="E208" s="272"/>
      <c r="F208" s="272"/>
      <c r="G208" s="272"/>
      <c r="H208" s="272"/>
      <c r="I208" s="272"/>
      <c r="J208" s="272"/>
      <c r="K208" s="272"/>
    </row>
    <row r="209" spans="1:9" x14ac:dyDescent="0.2">
      <c r="A209" s="1" t="s">
        <v>0</v>
      </c>
      <c r="B209" s="1">
        <v>1</v>
      </c>
      <c r="C209" s="1">
        <v>2</v>
      </c>
      <c r="D209" s="1">
        <v>3</v>
      </c>
    </row>
    <row r="210" spans="1:9" x14ac:dyDescent="0.2">
      <c r="A210" s="1" t="s">
        <v>247</v>
      </c>
      <c r="B210" s="1">
        <v>1500</v>
      </c>
      <c r="C210" s="1">
        <v>1500</v>
      </c>
      <c r="D210" s="2">
        <v>1800</v>
      </c>
    </row>
    <row r="211" spans="1:9" x14ac:dyDescent="0.2">
      <c r="A211" s="1" t="s">
        <v>248</v>
      </c>
      <c r="B211" s="1">
        <v>590</v>
      </c>
      <c r="C211" s="1">
        <v>620</v>
      </c>
      <c r="D211" s="1">
        <v>620</v>
      </c>
    </row>
    <row r="212" spans="1:9" x14ac:dyDescent="0.2">
      <c r="A212" s="1" t="s">
        <v>179</v>
      </c>
      <c r="B212" s="1">
        <f>B210*B211</f>
        <v>885000</v>
      </c>
      <c r="C212" s="1">
        <f>C210*C211</f>
        <v>930000</v>
      </c>
      <c r="D212" s="1">
        <f>D210*D211</f>
        <v>1116000</v>
      </c>
    </row>
    <row r="213" spans="1:9" x14ac:dyDescent="0.2">
      <c r="A213" s="1" t="s">
        <v>249</v>
      </c>
      <c r="B213" s="1">
        <v>370</v>
      </c>
      <c r="C213" s="1">
        <f>B213+40</f>
        <v>410</v>
      </c>
      <c r="D213" s="1">
        <f>C213</f>
        <v>410</v>
      </c>
    </row>
    <row r="214" spans="1:9" x14ac:dyDescent="0.2">
      <c r="A214" s="1" t="s">
        <v>250</v>
      </c>
      <c r="B214" s="1">
        <f>B213*B210</f>
        <v>555000</v>
      </c>
      <c r="C214" s="1">
        <f>C213*C210</f>
        <v>615000</v>
      </c>
      <c r="D214" s="1">
        <f>D213*D210</f>
        <v>738000</v>
      </c>
    </row>
    <row r="215" spans="1:9" x14ac:dyDescent="0.2">
      <c r="A215" s="1" t="s">
        <v>251</v>
      </c>
      <c r="B215" s="1">
        <v>250000</v>
      </c>
      <c r="C215" s="1">
        <f>B215</f>
        <v>250000</v>
      </c>
      <c r="D215" s="1">
        <f>C215</f>
        <v>250000</v>
      </c>
    </row>
    <row r="216" spans="1:9" x14ac:dyDescent="0.2">
      <c r="A216" s="1" t="s">
        <v>252</v>
      </c>
      <c r="B216" s="1"/>
      <c r="C216" s="2">
        <f>50000</f>
        <v>50000</v>
      </c>
      <c r="D216" s="2">
        <v>50000</v>
      </c>
    </row>
    <row r="217" spans="1:9" x14ac:dyDescent="0.2">
      <c r="A217" s="1" t="s">
        <v>181</v>
      </c>
      <c r="B217" s="1">
        <f>B212-B214-B215</f>
        <v>80000</v>
      </c>
      <c r="C217" s="1">
        <f>C212-C214-C215-C216</f>
        <v>15000</v>
      </c>
      <c r="D217" s="1">
        <f>D212-D214-D215-D216</f>
        <v>78000</v>
      </c>
    </row>
    <row r="218" spans="1:9" x14ac:dyDescent="0.2">
      <c r="A218" s="15" t="s">
        <v>253</v>
      </c>
      <c r="B218" s="44">
        <f>B217/B212</f>
        <v>9.03954802259887E-2</v>
      </c>
      <c r="C218" s="44">
        <f>C217/C212</f>
        <v>1.6129032258064516E-2</v>
      </c>
      <c r="D218" s="44">
        <f>D217/D212</f>
        <v>6.9892473118279563E-2</v>
      </c>
    </row>
    <row r="220" spans="1:9" ht="30" customHeight="1" thickBot="1" x14ac:dyDescent="0.25">
      <c r="A220" s="271" t="s">
        <v>254</v>
      </c>
      <c r="B220" s="272"/>
      <c r="C220" s="272"/>
      <c r="D220" s="272"/>
      <c r="E220" s="272"/>
      <c r="F220" s="272"/>
      <c r="G220" s="272"/>
      <c r="H220" s="272"/>
      <c r="I220" s="272"/>
    </row>
    <row r="221" spans="1:9" ht="53" thickBot="1" x14ac:dyDescent="0.25">
      <c r="A221" s="81" t="s">
        <v>255</v>
      </c>
      <c r="B221" s="81" t="s">
        <v>256</v>
      </c>
      <c r="D221" s="45" t="s">
        <v>268</v>
      </c>
      <c r="E221" s="49" t="s">
        <v>269</v>
      </c>
      <c r="F221" s="49" t="s">
        <v>270</v>
      </c>
    </row>
    <row r="222" spans="1:9" ht="27" thickBot="1" x14ac:dyDescent="0.25">
      <c r="A222" s="81" t="s">
        <v>257</v>
      </c>
      <c r="B222" s="82">
        <v>31</v>
      </c>
      <c r="D222" s="288" t="s">
        <v>271</v>
      </c>
      <c r="E222" s="289"/>
      <c r="F222" s="290"/>
    </row>
    <row r="223" spans="1:9" ht="66" thickBot="1" x14ac:dyDescent="0.25">
      <c r="A223" s="81" t="s">
        <v>258</v>
      </c>
      <c r="B223" s="82">
        <v>60</v>
      </c>
      <c r="D223" s="47" t="s">
        <v>272</v>
      </c>
      <c r="E223" s="48">
        <f>B230</f>
        <v>76</v>
      </c>
      <c r="F223" s="50"/>
    </row>
    <row r="224" spans="1:9" ht="23" customHeight="1" thickBot="1" x14ac:dyDescent="0.25">
      <c r="A224" s="81" t="s">
        <v>259</v>
      </c>
      <c r="B224" s="82">
        <v>12</v>
      </c>
      <c r="D224" s="273" t="s">
        <v>273</v>
      </c>
      <c r="E224" s="96"/>
      <c r="F224" s="48">
        <f>B222</f>
        <v>31</v>
      </c>
    </row>
    <row r="225" spans="1:6" ht="16" thickBot="1" x14ac:dyDescent="0.25">
      <c r="A225" s="81" t="s">
        <v>260</v>
      </c>
      <c r="B225" s="82">
        <v>3</v>
      </c>
      <c r="D225" s="291"/>
      <c r="E225" s="96"/>
      <c r="F225" s="48">
        <f>B224</f>
        <v>12</v>
      </c>
    </row>
    <row r="226" spans="1:6" ht="40" thickBot="1" x14ac:dyDescent="0.25">
      <c r="A226" s="81" t="s">
        <v>261</v>
      </c>
      <c r="B226" s="82">
        <v>46</v>
      </c>
      <c r="D226" s="47" t="s">
        <v>274</v>
      </c>
      <c r="E226" s="96"/>
      <c r="F226" s="48">
        <f>B231</f>
        <v>5</v>
      </c>
    </row>
    <row r="227" spans="1:6" ht="16" thickBot="1" x14ac:dyDescent="0.25">
      <c r="A227" s="81" t="s">
        <v>262</v>
      </c>
      <c r="B227" s="82">
        <v>25</v>
      </c>
      <c r="D227" s="47" t="s">
        <v>275</v>
      </c>
      <c r="E227" s="96"/>
      <c r="F227" s="48">
        <f>B228</f>
        <v>7</v>
      </c>
    </row>
    <row r="228" spans="1:6" ht="16" thickBot="1" x14ac:dyDescent="0.25">
      <c r="A228" s="81" t="s">
        <v>263</v>
      </c>
      <c r="B228" s="82">
        <v>7</v>
      </c>
      <c r="D228" s="47" t="s">
        <v>276</v>
      </c>
      <c r="E228" s="48">
        <f>SUM(E223:E227)</f>
        <v>76</v>
      </c>
      <c r="F228" s="48">
        <f>SUM(F223:F227)</f>
        <v>55</v>
      </c>
    </row>
    <row r="229" spans="1:6" ht="27" thickBot="1" x14ac:dyDescent="0.25">
      <c r="A229" s="81" t="s">
        <v>264</v>
      </c>
      <c r="B229" s="91">
        <v>75</v>
      </c>
      <c r="D229" s="47" t="s">
        <v>277</v>
      </c>
      <c r="E229" s="48">
        <f>E228-F228</f>
        <v>21</v>
      </c>
      <c r="F229" s="96"/>
    </row>
    <row r="230" spans="1:6" ht="27" thickBot="1" x14ac:dyDescent="0.25">
      <c r="A230" s="81" t="s">
        <v>265</v>
      </c>
      <c r="B230" s="82">
        <v>76</v>
      </c>
      <c r="D230" s="288" t="s">
        <v>278</v>
      </c>
      <c r="E230" s="289"/>
      <c r="F230" s="290"/>
    </row>
    <row r="231" spans="1:6" ht="27" thickBot="1" x14ac:dyDescent="0.25">
      <c r="A231" s="81" t="s">
        <v>266</v>
      </c>
      <c r="B231" s="82">
        <v>5</v>
      </c>
      <c r="D231" s="47" t="s">
        <v>279</v>
      </c>
      <c r="E231" s="96"/>
      <c r="F231" s="48">
        <f>B232</f>
        <v>36</v>
      </c>
    </row>
    <row r="232" spans="1:6" ht="27" thickBot="1" x14ac:dyDescent="0.25">
      <c r="A232" s="81" t="s">
        <v>267</v>
      </c>
      <c r="B232" s="82">
        <v>36</v>
      </c>
      <c r="D232" s="47" t="s">
        <v>280</v>
      </c>
      <c r="E232" s="48">
        <f>E231</f>
        <v>0</v>
      </c>
      <c r="F232" s="48">
        <f>F231</f>
        <v>36</v>
      </c>
    </row>
    <row r="233" spans="1:6" ht="27" thickBot="1" x14ac:dyDescent="0.25">
      <c r="A233" s="98" t="s">
        <v>287</v>
      </c>
      <c r="B233" s="99"/>
      <c r="D233" s="47" t="s">
        <v>281</v>
      </c>
      <c r="E233" s="48">
        <f>E232-F232</f>
        <v>-36</v>
      </c>
      <c r="F233" s="96"/>
    </row>
    <row r="234" spans="1:6" ht="16" thickBot="1" x14ac:dyDescent="0.25">
      <c r="A234" s="98" t="s">
        <v>179</v>
      </c>
      <c r="B234" s="99">
        <f>B229</f>
        <v>75</v>
      </c>
      <c r="D234" s="288" t="s">
        <v>282</v>
      </c>
      <c r="E234" s="289"/>
      <c r="F234" s="290"/>
    </row>
    <row r="235" spans="1:6" ht="27" thickBot="1" x14ac:dyDescent="0.25">
      <c r="A235" s="98" t="s">
        <v>288</v>
      </c>
      <c r="B235" s="99">
        <f>B224+B225+B226</f>
        <v>61</v>
      </c>
      <c r="D235" s="47" t="s">
        <v>283</v>
      </c>
      <c r="E235" s="48">
        <f>B223</f>
        <v>60</v>
      </c>
      <c r="F235" s="48">
        <f>B227</f>
        <v>25</v>
      </c>
    </row>
    <row r="236" spans="1:6" ht="16" thickBot="1" x14ac:dyDescent="0.25">
      <c r="A236" s="98" t="s">
        <v>289</v>
      </c>
      <c r="B236" s="99">
        <f>B228</f>
        <v>7</v>
      </c>
      <c r="D236" s="47" t="s">
        <v>284</v>
      </c>
      <c r="E236" s="48">
        <f>E235</f>
        <v>60</v>
      </c>
      <c r="F236" s="48">
        <f>F235</f>
        <v>25</v>
      </c>
    </row>
    <row r="237" spans="1:6" ht="53" thickBot="1" x14ac:dyDescent="0.25">
      <c r="A237" s="98" t="s">
        <v>290</v>
      </c>
      <c r="B237" s="99">
        <f>B231</f>
        <v>5</v>
      </c>
      <c r="D237" s="47" t="s">
        <v>285</v>
      </c>
      <c r="E237" s="48">
        <f>E236-F236</f>
        <v>35</v>
      </c>
      <c r="F237" s="96"/>
    </row>
    <row r="238" spans="1:6" ht="27" thickBot="1" x14ac:dyDescent="0.25">
      <c r="A238" s="98" t="s">
        <v>181</v>
      </c>
      <c r="B238" s="99">
        <f>B234-B235-B236-B237</f>
        <v>2</v>
      </c>
      <c r="D238" s="47" t="s">
        <v>286</v>
      </c>
      <c r="E238" s="48">
        <f>E237+E233+E229</f>
        <v>20</v>
      </c>
      <c r="F238" s="96"/>
    </row>
    <row r="240" spans="1:6" ht="34" customHeight="1" thickBot="1" x14ac:dyDescent="0.25">
      <c r="A240" s="271" t="s">
        <v>291</v>
      </c>
      <c r="B240" s="272"/>
      <c r="C240" s="272"/>
      <c r="D240" s="272"/>
      <c r="E240" s="272"/>
      <c r="F240" s="272"/>
    </row>
    <row r="241" spans="1:10" ht="40" thickBot="1" x14ac:dyDescent="0.25">
      <c r="A241" s="41" t="s">
        <v>91</v>
      </c>
      <c r="B241" s="100" t="s">
        <v>33</v>
      </c>
      <c r="C241" s="1" t="s">
        <v>299</v>
      </c>
    </row>
    <row r="242" spans="1:10" ht="27" thickBot="1" x14ac:dyDescent="0.25">
      <c r="A242" s="89" t="s">
        <v>292</v>
      </c>
      <c r="B242" s="101">
        <v>2600</v>
      </c>
      <c r="C242" s="1">
        <f>B242</f>
        <v>2600</v>
      </c>
    </row>
    <row r="243" spans="1:10" ht="27" thickBot="1" x14ac:dyDescent="0.25">
      <c r="A243" s="89" t="s">
        <v>293</v>
      </c>
      <c r="B243" s="101">
        <v>2100</v>
      </c>
      <c r="C243" s="1">
        <f t="shared" ref="C243:C248" si="21">B243</f>
        <v>2100</v>
      </c>
    </row>
    <row r="244" spans="1:10" ht="27" thickBot="1" x14ac:dyDescent="0.25">
      <c r="A244" s="89" t="s">
        <v>294</v>
      </c>
      <c r="B244" s="106">
        <v>400</v>
      </c>
      <c r="C244" s="36">
        <f>B244-80</f>
        <v>320</v>
      </c>
    </row>
    <row r="245" spans="1:10" ht="27" thickBot="1" x14ac:dyDescent="0.25">
      <c r="A245" s="89" t="s">
        <v>295</v>
      </c>
      <c r="B245" s="101">
        <v>90</v>
      </c>
      <c r="C245" s="1">
        <f t="shared" si="21"/>
        <v>90</v>
      </c>
    </row>
    <row r="246" spans="1:10" ht="27" thickBot="1" x14ac:dyDescent="0.25">
      <c r="A246" s="89" t="s">
        <v>296</v>
      </c>
      <c r="B246" s="101">
        <v>70</v>
      </c>
      <c r="C246" s="1">
        <f>B246</f>
        <v>70</v>
      </c>
    </row>
    <row r="247" spans="1:10" ht="27" thickBot="1" x14ac:dyDescent="0.25">
      <c r="A247" s="89" t="s">
        <v>297</v>
      </c>
      <c r="B247" s="101">
        <v>65</v>
      </c>
      <c r="C247" s="1">
        <f t="shared" si="21"/>
        <v>65</v>
      </c>
    </row>
    <row r="248" spans="1:10" ht="26" x14ac:dyDescent="0.2">
      <c r="A248" s="102" t="s">
        <v>298</v>
      </c>
      <c r="B248" s="103">
        <v>150</v>
      </c>
      <c r="C248" s="1">
        <f t="shared" si="21"/>
        <v>150</v>
      </c>
    </row>
    <row r="249" spans="1:10" x14ac:dyDescent="0.2">
      <c r="A249" s="6" t="s">
        <v>300</v>
      </c>
      <c r="B249" s="1">
        <f>B244+B245+B246+(B248-B247)</f>
        <v>645</v>
      </c>
      <c r="C249" s="1">
        <f>C244+C245+C246+(C248-C247)</f>
        <v>565</v>
      </c>
    </row>
    <row r="250" spans="1:10" x14ac:dyDescent="0.2">
      <c r="A250" s="6" t="s">
        <v>301</v>
      </c>
      <c r="B250" s="1">
        <f>B242-B243</f>
        <v>500</v>
      </c>
      <c r="C250" s="1">
        <f>C242-C243</f>
        <v>500</v>
      </c>
    </row>
    <row r="251" spans="1:10" x14ac:dyDescent="0.2">
      <c r="A251" s="1" t="s">
        <v>302</v>
      </c>
      <c r="B251" s="105">
        <f>B250/B249</f>
        <v>0.77519379844961245</v>
      </c>
      <c r="C251" s="105">
        <f>C250/C249</f>
        <v>0.88495575221238942</v>
      </c>
    </row>
    <row r="253" spans="1:10" ht="43" customHeight="1" x14ac:dyDescent="0.2">
      <c r="A253" s="271" t="s">
        <v>309</v>
      </c>
      <c r="B253" s="272"/>
      <c r="C253" s="272"/>
      <c r="D253" s="272"/>
      <c r="E253" s="272"/>
      <c r="F253" s="272"/>
      <c r="G253" s="272"/>
    </row>
    <row r="254" spans="1:10" x14ac:dyDescent="0.2">
      <c r="A254" s="287" t="s">
        <v>303</v>
      </c>
      <c r="B254" s="109" t="s">
        <v>304</v>
      </c>
      <c r="C254" s="109" t="s">
        <v>6</v>
      </c>
      <c r="D254" s="287" t="s">
        <v>306</v>
      </c>
      <c r="E254" s="287" t="s">
        <v>307</v>
      </c>
      <c r="F254" s="287" t="s">
        <v>308</v>
      </c>
    </row>
    <row r="255" spans="1:10" ht="30" x14ac:dyDescent="0.2">
      <c r="A255" s="287"/>
      <c r="B255" s="109" t="s">
        <v>305</v>
      </c>
      <c r="C255" s="109" t="s">
        <v>305</v>
      </c>
      <c r="D255" s="287"/>
      <c r="E255" s="287"/>
      <c r="F255" s="287"/>
      <c r="G255" s="108" t="s">
        <v>310</v>
      </c>
      <c r="H255" s="7" t="s">
        <v>311</v>
      </c>
      <c r="I255" s="7" t="s">
        <v>312</v>
      </c>
      <c r="J255" s="83"/>
    </row>
    <row r="256" spans="1:10" x14ac:dyDescent="0.2">
      <c r="A256" s="81">
        <v>2018</v>
      </c>
      <c r="B256" s="81">
        <v>3980</v>
      </c>
      <c r="C256" s="81">
        <v>725</v>
      </c>
      <c r="D256" s="81">
        <v>1020</v>
      </c>
      <c r="E256" s="81">
        <v>1460</v>
      </c>
      <c r="F256" s="81">
        <v>8</v>
      </c>
      <c r="G256" s="108">
        <f>B256+C256+D256-E256</f>
        <v>4265</v>
      </c>
      <c r="H256" s="110">
        <f>1.08*H257</f>
        <v>1.2249360000000002</v>
      </c>
      <c r="I256" s="7">
        <f>G256*H256</f>
        <v>5224.3520400000007</v>
      </c>
      <c r="J256" s="83"/>
    </row>
    <row r="257" spans="1:10" x14ac:dyDescent="0.2">
      <c r="A257" s="81">
        <v>2019</v>
      </c>
      <c r="B257" s="81">
        <v>4620</v>
      </c>
      <c r="C257" s="81">
        <v>880</v>
      </c>
      <c r="D257" s="81">
        <v>1325</v>
      </c>
      <c r="E257" s="81">
        <v>1570</v>
      </c>
      <c r="F257" s="81">
        <v>7</v>
      </c>
      <c r="G257" s="108">
        <f t="shared" ref="G257" si="22">B257+C257+D257-E257</f>
        <v>5255</v>
      </c>
      <c r="H257" s="110">
        <f>1.07*H258</f>
        <v>1.1342000000000001</v>
      </c>
      <c r="I257" s="7">
        <f t="shared" ref="I257:I258" si="23">G257*H257</f>
        <v>5960.2210000000005</v>
      </c>
      <c r="J257" s="83"/>
    </row>
    <row r="258" spans="1:10" x14ac:dyDescent="0.2">
      <c r="A258" s="81">
        <v>2020</v>
      </c>
      <c r="B258" s="81">
        <v>4900</v>
      </c>
      <c r="C258" s="81">
        <v>910</v>
      </c>
      <c r="D258" s="81">
        <v>1500</v>
      </c>
      <c r="E258" s="81">
        <v>1785</v>
      </c>
      <c r="F258" s="81">
        <v>6</v>
      </c>
      <c r="G258" s="108">
        <f>B258+C258+D258-E258</f>
        <v>5525</v>
      </c>
      <c r="H258" s="110">
        <f>1.06</f>
        <v>1.06</v>
      </c>
      <c r="I258" s="7">
        <f t="shared" si="23"/>
        <v>5856.5</v>
      </c>
      <c r="J258" s="83"/>
    </row>
    <row r="259" spans="1:10" x14ac:dyDescent="0.2">
      <c r="A259" s="5">
        <v>2021</v>
      </c>
      <c r="F259" t="s">
        <v>313</v>
      </c>
      <c r="I259">
        <f>SUM(I256:I258)/3</f>
        <v>5680.357680000001</v>
      </c>
    </row>
    <row r="260" spans="1:10" x14ac:dyDescent="0.2">
      <c r="F260" t="s">
        <v>314</v>
      </c>
      <c r="I260">
        <f>I259-(0+50)/2</f>
        <v>5655.357680000001</v>
      </c>
    </row>
    <row r="261" spans="1:10" ht="35" customHeight="1" thickBot="1" x14ac:dyDescent="0.25">
      <c r="A261" s="271" t="s">
        <v>315</v>
      </c>
      <c r="B261" s="272"/>
      <c r="C261" s="272"/>
      <c r="D261" s="272"/>
      <c r="E261" s="272"/>
      <c r="F261" s="272"/>
      <c r="G261" s="272"/>
      <c r="H261" s="272"/>
    </row>
    <row r="262" spans="1:10" ht="16" thickBot="1" x14ac:dyDescent="0.25">
      <c r="A262" s="280" t="s">
        <v>91</v>
      </c>
      <c r="B262" s="284" t="s">
        <v>316</v>
      </c>
      <c r="C262" s="285"/>
    </row>
    <row r="263" spans="1:10" ht="16" thickBot="1" x14ac:dyDescent="0.25">
      <c r="A263" s="281"/>
      <c r="B263" s="107" t="s">
        <v>317</v>
      </c>
      <c r="C263" s="107" t="s">
        <v>318</v>
      </c>
    </row>
    <row r="264" spans="1:10" ht="27" thickBot="1" x14ac:dyDescent="0.25">
      <c r="A264" s="89" t="s">
        <v>319</v>
      </c>
      <c r="B264" s="95">
        <v>720</v>
      </c>
      <c r="C264" s="95">
        <v>780</v>
      </c>
    </row>
    <row r="265" spans="1:10" ht="40" thickBot="1" x14ac:dyDescent="0.25">
      <c r="A265" s="89" t="s">
        <v>320</v>
      </c>
      <c r="B265" s="95">
        <v>420</v>
      </c>
      <c r="C265" s="95">
        <v>450</v>
      </c>
    </row>
    <row r="266" spans="1:10" ht="40" thickBot="1" x14ac:dyDescent="0.25">
      <c r="A266" s="89" t="s">
        <v>321</v>
      </c>
      <c r="B266" s="95">
        <v>220</v>
      </c>
      <c r="C266" s="95">
        <v>235</v>
      </c>
    </row>
    <row r="267" spans="1:10" ht="53" thickBot="1" x14ac:dyDescent="0.25">
      <c r="A267" s="89" t="s">
        <v>322</v>
      </c>
      <c r="B267" s="95">
        <v>200</v>
      </c>
      <c r="C267" s="95">
        <v>210</v>
      </c>
    </row>
    <row r="268" spans="1:10" ht="52" x14ac:dyDescent="0.2">
      <c r="A268" s="102" t="s">
        <v>323</v>
      </c>
      <c r="B268" s="112">
        <v>205</v>
      </c>
      <c r="C268" s="112">
        <v>215</v>
      </c>
    </row>
    <row r="269" spans="1:10" ht="27" x14ac:dyDescent="0.2">
      <c r="A269" s="113" t="s">
        <v>324</v>
      </c>
      <c r="B269" s="7">
        <f>B267+B266-B268</f>
        <v>215</v>
      </c>
      <c r="C269" s="7">
        <f>C267+C266-C268</f>
        <v>230</v>
      </c>
    </row>
    <row r="270" spans="1:10" ht="27" x14ac:dyDescent="0.2">
      <c r="A270" s="113" t="s">
        <v>325</v>
      </c>
      <c r="B270" s="7">
        <f>B264-B265-B269</f>
        <v>85</v>
      </c>
      <c r="C270" s="7">
        <f>C264-C265-C269</f>
        <v>100</v>
      </c>
    </row>
    <row r="271" spans="1:10" ht="27" x14ac:dyDescent="0.2">
      <c r="A271" s="113" t="s">
        <v>326</v>
      </c>
      <c r="B271" s="111">
        <f>B269/B270</f>
        <v>2.5294117647058822</v>
      </c>
      <c r="C271" s="114">
        <f>C269/C270</f>
        <v>2.2999999999999998</v>
      </c>
    </row>
    <row r="273" spans="1:8" ht="26" customHeight="1" x14ac:dyDescent="0.2">
      <c r="A273" s="271" t="s">
        <v>327</v>
      </c>
      <c r="B273" s="272"/>
      <c r="C273" s="272"/>
      <c r="D273" s="272"/>
      <c r="E273" s="272"/>
      <c r="F273" s="272"/>
      <c r="G273" s="272"/>
      <c r="H273" s="272"/>
    </row>
    <row r="274" spans="1:8" ht="24" customHeight="1" x14ac:dyDescent="0.2">
      <c r="A274" s="286" t="s">
        <v>328</v>
      </c>
      <c r="B274" s="272"/>
      <c r="C274" s="272"/>
      <c r="D274" s="272"/>
      <c r="E274" s="272"/>
      <c r="F274" s="272"/>
      <c r="G274" s="272"/>
      <c r="H274" s="272"/>
    </row>
    <row r="275" spans="1:8" x14ac:dyDescent="0.2">
      <c r="A275" s="1" t="s">
        <v>0</v>
      </c>
      <c r="B275" s="1">
        <v>2020</v>
      </c>
    </row>
    <row r="276" spans="1:8" x14ac:dyDescent="0.2">
      <c r="A276" s="1" t="s">
        <v>329</v>
      </c>
      <c r="B276" s="1">
        <v>25000</v>
      </c>
    </row>
    <row r="277" spans="1:8" x14ac:dyDescent="0.2">
      <c r="A277" s="1" t="s">
        <v>330</v>
      </c>
      <c r="B277" s="1">
        <v>500</v>
      </c>
    </row>
    <row r="278" spans="1:8" x14ac:dyDescent="0.2">
      <c r="A278" s="1" t="s">
        <v>233</v>
      </c>
      <c r="B278" s="1">
        <f>B276*B277</f>
        <v>12500000</v>
      </c>
    </row>
    <row r="279" spans="1:8" x14ac:dyDescent="0.2">
      <c r="A279" s="1" t="s">
        <v>331</v>
      </c>
      <c r="B279" s="1">
        <v>6100000</v>
      </c>
    </row>
    <row r="280" spans="1:8" x14ac:dyDescent="0.2">
      <c r="A280" s="1" t="s">
        <v>332</v>
      </c>
      <c r="B280" s="1">
        <v>4000000</v>
      </c>
    </row>
    <row r="281" spans="1:8" ht="19" customHeight="1" x14ac:dyDescent="0.2">
      <c r="A281" s="21" t="s">
        <v>173</v>
      </c>
      <c r="B281" s="21">
        <f>B278-B279-B280</f>
        <v>2400000</v>
      </c>
      <c r="C281">
        <v>333</v>
      </c>
    </row>
    <row r="282" spans="1:8" x14ac:dyDescent="0.2">
      <c r="A282" s="15" t="s">
        <v>333</v>
      </c>
      <c r="B282" s="44">
        <f>B281/(B279+B280)</f>
        <v>0.23762376237623761</v>
      </c>
      <c r="C282" s="44">
        <v>0.112</v>
      </c>
    </row>
    <row r="284" spans="1:8" ht="37" customHeight="1" x14ac:dyDescent="0.2">
      <c r="A284" s="271" t="s">
        <v>334</v>
      </c>
      <c r="B284" s="272"/>
      <c r="C284" s="272"/>
      <c r="D284" s="272"/>
      <c r="E284" s="272"/>
      <c r="F284" s="272"/>
      <c r="G284" s="272"/>
      <c r="H284" s="272"/>
    </row>
    <row r="285" spans="1:8" ht="37" customHeight="1" x14ac:dyDescent="0.2">
      <c r="A285" s="71" t="s">
        <v>0</v>
      </c>
      <c r="B285" s="7">
        <v>2021</v>
      </c>
      <c r="C285" s="83"/>
      <c r="D285" s="83"/>
      <c r="E285" s="83"/>
      <c r="F285" s="83"/>
      <c r="G285" s="83"/>
      <c r="H285" s="83"/>
    </row>
    <row r="286" spans="1:8" ht="26" x14ac:dyDescent="0.2">
      <c r="A286" s="116" t="s">
        <v>335</v>
      </c>
      <c r="B286" s="1">
        <v>177000</v>
      </c>
    </row>
    <row r="287" spans="1:8" x14ac:dyDescent="0.2">
      <c r="A287" s="116" t="s">
        <v>233</v>
      </c>
      <c r="B287" s="1">
        <f>B286/1.2</f>
        <v>147500</v>
      </c>
    </row>
    <row r="288" spans="1:8" x14ac:dyDescent="0.2">
      <c r="A288" s="116" t="s">
        <v>340</v>
      </c>
      <c r="B288" s="1">
        <f>B286-B287</f>
        <v>29500</v>
      </c>
    </row>
    <row r="289" spans="1:8" ht="52" x14ac:dyDescent="0.2">
      <c r="A289" s="116" t="s">
        <v>336</v>
      </c>
      <c r="B289" s="1">
        <v>119000</v>
      </c>
    </row>
    <row r="290" spans="1:8" ht="26" x14ac:dyDescent="0.2">
      <c r="A290" s="116" t="s">
        <v>337</v>
      </c>
      <c r="B290" s="1">
        <v>23000</v>
      </c>
    </row>
    <row r="291" spans="1:8" ht="39" x14ac:dyDescent="0.2">
      <c r="A291" s="116" t="s">
        <v>338</v>
      </c>
      <c r="B291" s="1">
        <v>18000</v>
      </c>
      <c r="C291" t="s">
        <v>344</v>
      </c>
    </row>
    <row r="292" spans="1:8" x14ac:dyDescent="0.2">
      <c r="A292" s="117" t="s">
        <v>339</v>
      </c>
      <c r="B292" s="1">
        <f>B287-B289</f>
        <v>28500</v>
      </c>
    </row>
    <row r="293" spans="1:8" x14ac:dyDescent="0.2">
      <c r="A293" s="117" t="s">
        <v>341</v>
      </c>
      <c r="B293" s="44">
        <f>B292/B289</f>
        <v>0.23949579831932774</v>
      </c>
      <c r="C293" s="118">
        <v>8.7999999999999995E-2</v>
      </c>
    </row>
    <row r="294" spans="1:8" x14ac:dyDescent="0.2">
      <c r="A294" s="117" t="s">
        <v>342</v>
      </c>
      <c r="B294" s="44">
        <f>B291/B287</f>
        <v>0.12203389830508475</v>
      </c>
      <c r="C294" s="118">
        <v>0.08</v>
      </c>
    </row>
    <row r="295" spans="1:8" x14ac:dyDescent="0.2">
      <c r="A295" s="117" t="s">
        <v>343</v>
      </c>
      <c r="B295" s="44">
        <f>B290/B288</f>
        <v>0.77966101694915257</v>
      </c>
      <c r="C295" s="19"/>
    </row>
    <row r="297" spans="1:8" x14ac:dyDescent="0.2">
      <c r="A297" s="271" t="s">
        <v>345</v>
      </c>
      <c r="B297" s="272"/>
      <c r="C297" s="272"/>
      <c r="D297" s="272"/>
      <c r="E297" s="272"/>
      <c r="F297" s="272"/>
      <c r="G297" s="272"/>
      <c r="H297" s="272"/>
    </row>
    <row r="298" spans="1:8" ht="25" customHeight="1" x14ac:dyDescent="0.2">
      <c r="A298" s="286" t="s">
        <v>346</v>
      </c>
      <c r="B298" s="272"/>
      <c r="C298" s="272"/>
      <c r="D298" s="272"/>
      <c r="E298" s="272"/>
      <c r="F298" s="272"/>
      <c r="G298" s="272"/>
      <c r="H298" s="272"/>
    </row>
    <row r="299" spans="1:8" ht="35" customHeight="1" x14ac:dyDescent="0.2">
      <c r="A299" s="286" t="s">
        <v>347</v>
      </c>
      <c r="B299" s="272"/>
      <c r="C299" s="272"/>
      <c r="D299" s="272"/>
      <c r="E299" s="272"/>
      <c r="F299" s="272"/>
      <c r="G299" s="272"/>
      <c r="H299" s="272"/>
    </row>
    <row r="300" spans="1:8" x14ac:dyDescent="0.2">
      <c r="A300" s="1" t="s">
        <v>0</v>
      </c>
      <c r="B300" s="1" t="s">
        <v>348</v>
      </c>
      <c r="C300" s="1" t="s">
        <v>349</v>
      </c>
    </row>
    <row r="301" spans="1:8" x14ac:dyDescent="0.2">
      <c r="A301" s="1" t="s">
        <v>350</v>
      </c>
      <c r="B301" s="1">
        <v>300</v>
      </c>
      <c r="C301" s="1">
        <v>300</v>
      </c>
    </row>
    <row r="302" spans="1:8" x14ac:dyDescent="0.2">
      <c r="A302" s="1" t="s">
        <v>351</v>
      </c>
      <c r="B302" s="1">
        <v>280</v>
      </c>
      <c r="C302" s="1">
        <v>250</v>
      </c>
    </row>
    <row r="303" spans="1:8" x14ac:dyDescent="0.2">
      <c r="A303" s="1" t="s">
        <v>352</v>
      </c>
      <c r="B303" s="1">
        <v>0.13</v>
      </c>
      <c r="C303" s="1">
        <v>0.15</v>
      </c>
    </row>
    <row r="304" spans="1:8" x14ac:dyDescent="0.2">
      <c r="A304" s="1" t="s">
        <v>353</v>
      </c>
      <c r="B304" s="1">
        <f>1-B303</f>
        <v>0.87</v>
      </c>
      <c r="C304" s="1">
        <f>1-C303</f>
        <v>0.85</v>
      </c>
    </row>
    <row r="305" spans="1:8" x14ac:dyDescent="0.2">
      <c r="A305" s="1" t="s">
        <v>354</v>
      </c>
      <c r="B305" s="1">
        <f>(B301-B302)*B304</f>
        <v>17.399999999999999</v>
      </c>
      <c r="C305" s="36">
        <f>(C301-C302)*C304</f>
        <v>42.5</v>
      </c>
    </row>
    <row r="306" spans="1:8" x14ac:dyDescent="0.2">
      <c r="A306" s="1"/>
      <c r="B306" s="1"/>
      <c r="C306" s="1"/>
    </row>
    <row r="307" spans="1:8" x14ac:dyDescent="0.2">
      <c r="A307" s="1" t="s">
        <v>355</v>
      </c>
      <c r="B307" s="119">
        <f>(((B301-B302-B305)^2)*B303)^(1/2)</f>
        <v>0.93744333162063775</v>
      </c>
      <c r="C307" s="38">
        <f>(((C301-C302-C305)^2)*C303)^(1/2)</f>
        <v>2.9047375096555625</v>
      </c>
    </row>
    <row r="308" spans="1:8" x14ac:dyDescent="0.2">
      <c r="A308" s="1"/>
      <c r="C308" s="1"/>
    </row>
    <row r="309" spans="1:8" x14ac:dyDescent="0.2">
      <c r="A309" s="15" t="s">
        <v>356</v>
      </c>
      <c r="B309" s="43">
        <f>B307/B305</f>
        <v>5.3876053541415968E-2</v>
      </c>
      <c r="C309" s="43">
        <f>C307/C305</f>
        <v>6.8346764933072054E-2</v>
      </c>
    </row>
    <row r="311" spans="1:8" ht="28" customHeight="1" thickBot="1" x14ac:dyDescent="0.25">
      <c r="A311" s="271" t="s">
        <v>357</v>
      </c>
      <c r="B311" s="272"/>
      <c r="C311" s="272"/>
      <c r="D311" s="272"/>
      <c r="E311" s="272"/>
      <c r="F311" s="272"/>
      <c r="G311" s="272"/>
      <c r="H311" s="272"/>
    </row>
    <row r="312" spans="1:8" ht="16" thickBot="1" x14ac:dyDescent="0.25">
      <c r="A312" s="41" t="s">
        <v>358</v>
      </c>
      <c r="B312" s="284" t="s">
        <v>206</v>
      </c>
      <c r="C312" s="285"/>
    </row>
    <row r="313" spans="1:8" ht="16" thickBot="1" x14ac:dyDescent="0.25">
      <c r="A313" s="89" t="s">
        <v>369</v>
      </c>
      <c r="B313" s="95">
        <v>12000</v>
      </c>
      <c r="C313" s="95">
        <v>11800</v>
      </c>
    </row>
    <row r="314" spans="1:8" ht="16" thickBot="1" x14ac:dyDescent="0.25">
      <c r="A314" s="89" t="s">
        <v>359</v>
      </c>
      <c r="B314" s="95">
        <v>8500</v>
      </c>
      <c r="C314" s="95">
        <v>10800</v>
      </c>
    </row>
    <row r="315" spans="1:8" x14ac:dyDescent="0.2">
      <c r="A315" s="120" t="s">
        <v>370</v>
      </c>
      <c r="B315" s="112">
        <v>5900</v>
      </c>
      <c r="C315" s="112">
        <v>6100</v>
      </c>
    </row>
    <row r="316" spans="1:8" x14ac:dyDescent="0.2">
      <c r="A316" s="1" t="s">
        <v>371</v>
      </c>
      <c r="B316" s="1">
        <f>B314-B315</f>
        <v>2600</v>
      </c>
      <c r="C316" s="1">
        <f>C314-C315</f>
        <v>4700</v>
      </c>
    </row>
    <row r="317" spans="1:8" x14ac:dyDescent="0.2">
      <c r="A317" s="1" t="s">
        <v>367</v>
      </c>
      <c r="B317" s="1">
        <f>B313-B315</f>
        <v>6100</v>
      </c>
      <c r="C317" s="1">
        <f>C313-C315</f>
        <v>5700</v>
      </c>
    </row>
    <row r="318" spans="1:8" x14ac:dyDescent="0.2">
      <c r="A318" s="1" t="s">
        <v>368</v>
      </c>
      <c r="B318" s="1">
        <f>B317-B316</f>
        <v>3500</v>
      </c>
      <c r="C318" s="1">
        <f>C317-C316</f>
        <v>1000</v>
      </c>
    </row>
    <row r="319" spans="1:8" x14ac:dyDescent="0.2">
      <c r="A319" s="1" t="s">
        <v>360</v>
      </c>
      <c r="B319" s="44">
        <f>B318/B313</f>
        <v>0.29166666666666669</v>
      </c>
      <c r="C319" s="44">
        <f>C318/C313</f>
        <v>8.4745762711864403E-2</v>
      </c>
    </row>
    <row r="320" spans="1:8" x14ac:dyDescent="0.2">
      <c r="A320" s="1" t="s">
        <v>361</v>
      </c>
      <c r="B320" s="38">
        <f>(B316/B317)*B313</f>
        <v>5114.754098360655</v>
      </c>
      <c r="C320" s="38">
        <f>(C316/C317)*C313</f>
        <v>9729.8245614035095</v>
      </c>
    </row>
    <row r="321" spans="1:8" x14ac:dyDescent="0.2">
      <c r="A321" s="1" t="s">
        <v>362</v>
      </c>
      <c r="B321" s="38">
        <f>B313-B320</f>
        <v>6885.245901639345</v>
      </c>
      <c r="C321" s="38">
        <f>C313-C320</f>
        <v>2070.1754385964905</v>
      </c>
    </row>
    <row r="322" spans="1:8" x14ac:dyDescent="0.2">
      <c r="A322" s="1" t="s">
        <v>363</v>
      </c>
      <c r="B322" s="44">
        <f>B321/B313</f>
        <v>0.57377049180327877</v>
      </c>
      <c r="C322" s="44">
        <f>C321/C313</f>
        <v>0.175438596491228</v>
      </c>
    </row>
    <row r="323" spans="1:8" ht="30" x14ac:dyDescent="0.2">
      <c r="A323" s="7" t="s">
        <v>372</v>
      </c>
      <c r="B323" s="104">
        <f>B313/B318</f>
        <v>3.4285714285714284</v>
      </c>
      <c r="C323" s="38">
        <f>C313/C318</f>
        <v>11.8</v>
      </c>
    </row>
    <row r="324" spans="1:8" ht="30" x14ac:dyDescent="0.2">
      <c r="A324" s="7" t="s">
        <v>418</v>
      </c>
      <c r="B324" s="104">
        <f>B317/B318</f>
        <v>1.7428571428571429</v>
      </c>
      <c r="C324" s="38">
        <f>C317/C318</f>
        <v>5.7</v>
      </c>
    </row>
    <row r="325" spans="1:8" x14ac:dyDescent="0.2">
      <c r="A325" s="121" t="s">
        <v>366</v>
      </c>
      <c r="B325" s="121"/>
      <c r="C325" s="121"/>
    </row>
    <row r="326" spans="1:8" x14ac:dyDescent="0.2">
      <c r="A326" s="1" t="s">
        <v>364</v>
      </c>
      <c r="B326" s="1"/>
      <c r="C326" s="1"/>
    </row>
    <row r="327" spans="1:8" x14ac:dyDescent="0.2">
      <c r="A327" s="1" t="s">
        <v>374</v>
      </c>
      <c r="B327" s="44">
        <f>B323*0.2</f>
        <v>0.68571428571428572</v>
      </c>
      <c r="C327" s="44">
        <f>C323*0.2</f>
        <v>2.3600000000000003</v>
      </c>
    </row>
    <row r="328" spans="1:8" x14ac:dyDescent="0.2">
      <c r="A328" s="1" t="s">
        <v>375</v>
      </c>
      <c r="B328" s="122">
        <f>-B327</f>
        <v>-0.68571428571428572</v>
      </c>
      <c r="C328" s="122">
        <f>-C327</f>
        <v>-2.3600000000000003</v>
      </c>
    </row>
    <row r="329" spans="1:8" x14ac:dyDescent="0.2">
      <c r="A329" s="1" t="s">
        <v>365</v>
      </c>
      <c r="B329" s="1"/>
      <c r="C329" s="1"/>
    </row>
    <row r="330" spans="1:8" x14ac:dyDescent="0.2">
      <c r="A330" s="1" t="s">
        <v>376</v>
      </c>
      <c r="B330" s="44">
        <f>B324*0.2</f>
        <v>0.34857142857142859</v>
      </c>
      <c r="C330" s="44">
        <f>C324*0.2</f>
        <v>1.1400000000000001</v>
      </c>
    </row>
    <row r="331" spans="1:8" x14ac:dyDescent="0.2">
      <c r="A331" s="1" t="s">
        <v>377</v>
      </c>
      <c r="B331" s="122">
        <f>-B330</f>
        <v>-0.34857142857142859</v>
      </c>
      <c r="C331" s="122">
        <f>-C330</f>
        <v>-1.1400000000000001</v>
      </c>
    </row>
    <row r="333" spans="1:8" ht="36" customHeight="1" x14ac:dyDescent="0.2">
      <c r="A333" s="271" t="s">
        <v>378</v>
      </c>
      <c r="B333" s="272"/>
      <c r="C333" s="272"/>
      <c r="D333" s="272"/>
      <c r="E333" s="272"/>
      <c r="F333" s="272"/>
      <c r="G333" s="272"/>
      <c r="H333" s="272"/>
    </row>
    <row r="334" spans="1:8" ht="26" x14ac:dyDescent="0.2">
      <c r="A334" s="81" t="s">
        <v>379</v>
      </c>
      <c r="B334" s="82" t="s">
        <v>380</v>
      </c>
      <c r="C334" s="82" t="s">
        <v>381</v>
      </c>
    </row>
    <row r="335" spans="1:8" x14ac:dyDescent="0.2">
      <c r="A335" s="81" t="s">
        <v>382</v>
      </c>
      <c r="B335" s="82">
        <v>73000</v>
      </c>
      <c r="C335" s="82">
        <v>65000</v>
      </c>
    </row>
    <row r="336" spans="1:8" x14ac:dyDescent="0.2">
      <c r="A336" s="81" t="s">
        <v>383</v>
      </c>
      <c r="B336" s="82">
        <v>12500</v>
      </c>
      <c r="C336" s="82">
        <v>11600</v>
      </c>
    </row>
    <row r="337" spans="1:3" x14ac:dyDescent="0.2">
      <c r="A337" s="123" t="s">
        <v>387</v>
      </c>
      <c r="B337" s="124">
        <f>B336-B338</f>
        <v>8600</v>
      </c>
      <c r="C337" s="124">
        <f>C336-C338</f>
        <v>7800</v>
      </c>
    </row>
    <row r="338" spans="1:3" x14ac:dyDescent="0.2">
      <c r="A338" s="81" t="s">
        <v>384</v>
      </c>
      <c r="B338" s="82">
        <v>3900</v>
      </c>
      <c r="C338" s="82">
        <v>3800</v>
      </c>
    </row>
    <row r="339" spans="1:3" ht="26" x14ac:dyDescent="0.2">
      <c r="A339" s="81" t="s">
        <v>385</v>
      </c>
      <c r="B339" s="82">
        <v>24500</v>
      </c>
      <c r="C339" s="84">
        <v>20400</v>
      </c>
    </row>
    <row r="340" spans="1:3" x14ac:dyDescent="0.2">
      <c r="A340" s="123" t="s">
        <v>386</v>
      </c>
      <c r="B340" s="124">
        <v>19300</v>
      </c>
      <c r="C340" s="124">
        <v>17600</v>
      </c>
    </row>
    <row r="341" spans="1:3" x14ac:dyDescent="0.2">
      <c r="A341" s="81" t="s">
        <v>384</v>
      </c>
      <c r="B341" s="1">
        <f>B339-B340</f>
        <v>5200</v>
      </c>
      <c r="C341" s="1">
        <f>C339-C340</f>
        <v>2800</v>
      </c>
    </row>
    <row r="342" spans="1:3" x14ac:dyDescent="0.2">
      <c r="A342" s="125" t="s">
        <v>388</v>
      </c>
      <c r="B342" s="126">
        <f>B337+B340</f>
        <v>27900</v>
      </c>
      <c r="C342" s="126">
        <f>C337+C340</f>
        <v>25400</v>
      </c>
    </row>
    <row r="343" spans="1:3" x14ac:dyDescent="0.2">
      <c r="A343" s="1" t="s">
        <v>389</v>
      </c>
      <c r="B343" s="1">
        <f>B338+B341</f>
        <v>9100</v>
      </c>
      <c r="C343" s="1">
        <f>C338+C341</f>
        <v>6600</v>
      </c>
    </row>
    <row r="344" spans="1:3" x14ac:dyDescent="0.2">
      <c r="A344" s="1" t="s">
        <v>367</v>
      </c>
      <c r="B344" s="1">
        <f>B335-B342</f>
        <v>45100</v>
      </c>
      <c r="C344" s="1">
        <f>C335-C342</f>
        <v>39600</v>
      </c>
    </row>
    <row r="345" spans="1:3" x14ac:dyDescent="0.2">
      <c r="A345" s="1" t="s">
        <v>368</v>
      </c>
      <c r="B345" s="1">
        <f>B344-B343</f>
        <v>36000</v>
      </c>
      <c r="C345" s="1">
        <f>C344-C343</f>
        <v>33000</v>
      </c>
    </row>
    <row r="346" spans="1:3" x14ac:dyDescent="0.2">
      <c r="A346" s="1" t="s">
        <v>360</v>
      </c>
      <c r="B346" s="44">
        <f>B345/B335</f>
        <v>0.49315068493150682</v>
      </c>
      <c r="C346" s="44">
        <f>C345/C335</f>
        <v>0.50769230769230766</v>
      </c>
    </row>
    <row r="347" spans="1:3" x14ac:dyDescent="0.2">
      <c r="A347" s="1" t="s">
        <v>361</v>
      </c>
      <c r="B347" s="38">
        <f>(B343/B344)*B335</f>
        <v>14729.490022172949</v>
      </c>
      <c r="C347" s="38">
        <f>(C343/C344)*C335</f>
        <v>10833.333333333332</v>
      </c>
    </row>
    <row r="348" spans="1:3" x14ac:dyDescent="0.2">
      <c r="A348" s="1" t="s">
        <v>362</v>
      </c>
      <c r="B348" s="119">
        <f>B335-B347</f>
        <v>58270.509977827052</v>
      </c>
      <c r="C348" s="38">
        <f>C335-C347</f>
        <v>54166.666666666672</v>
      </c>
    </row>
    <row r="349" spans="1:3" x14ac:dyDescent="0.2">
      <c r="A349" s="1" t="s">
        <v>363</v>
      </c>
      <c r="B349" s="44">
        <f>B348/B335</f>
        <v>0.79822616407982261</v>
      </c>
      <c r="C349" s="44">
        <f>C348/C335</f>
        <v>0.83333333333333337</v>
      </c>
    </row>
    <row r="350" spans="1:3" ht="30" x14ac:dyDescent="0.2">
      <c r="A350" s="7" t="s">
        <v>372</v>
      </c>
      <c r="B350" s="43">
        <f>B335/B345</f>
        <v>2.0277777777777777</v>
      </c>
      <c r="C350" s="43">
        <f>C335/C345</f>
        <v>1.9696969696969697</v>
      </c>
    </row>
    <row r="351" spans="1:3" ht="30" x14ac:dyDescent="0.2">
      <c r="A351" s="7" t="s">
        <v>373</v>
      </c>
      <c r="B351" s="43">
        <f>B344/B345</f>
        <v>1.2527777777777778</v>
      </c>
      <c r="C351" s="43">
        <f>C344/C345</f>
        <v>1.2</v>
      </c>
    </row>
    <row r="353" spans="1:8" ht="26" customHeight="1" thickBot="1" x14ac:dyDescent="0.25">
      <c r="A353" s="271" t="s">
        <v>390</v>
      </c>
      <c r="B353" s="272"/>
      <c r="C353" s="272"/>
      <c r="D353" s="272"/>
      <c r="E353" s="272"/>
      <c r="F353" s="272"/>
      <c r="G353" s="272"/>
      <c r="H353" s="272"/>
    </row>
    <row r="354" spans="1:8" x14ac:dyDescent="0.2">
      <c r="A354" s="273" t="s">
        <v>358</v>
      </c>
      <c r="B354" s="275" t="s">
        <v>391</v>
      </c>
      <c r="C354" s="127"/>
      <c r="D354" s="127"/>
    </row>
    <row r="355" spans="1:8" ht="16" thickBot="1" x14ac:dyDescent="0.25">
      <c r="A355" s="274"/>
      <c r="B355" s="276"/>
      <c r="C355" s="48" t="s">
        <v>392</v>
      </c>
      <c r="D355" s="48" t="s">
        <v>393</v>
      </c>
    </row>
    <row r="356" spans="1:8" ht="16" thickBot="1" x14ac:dyDescent="0.25">
      <c r="A356" s="47" t="s">
        <v>394</v>
      </c>
      <c r="B356" s="48">
        <f>B357+B358</f>
        <v>90000</v>
      </c>
      <c r="C356" s="48">
        <f t="shared" ref="C356:D356" si="24">C357+C358</f>
        <v>90000</v>
      </c>
      <c r="D356" s="48">
        <f t="shared" si="24"/>
        <v>90000</v>
      </c>
    </row>
    <row r="357" spans="1:8" ht="16" thickBot="1" x14ac:dyDescent="0.25">
      <c r="A357" s="128" t="s">
        <v>395</v>
      </c>
      <c r="B357" s="48">
        <v>90000</v>
      </c>
      <c r="C357" s="48">
        <v>60000</v>
      </c>
      <c r="D357" s="129">
        <f>C357</f>
        <v>60000</v>
      </c>
    </row>
    <row r="358" spans="1:8" ht="16" thickBot="1" x14ac:dyDescent="0.25">
      <c r="A358" s="128" t="s">
        <v>401</v>
      </c>
      <c r="B358" s="48"/>
      <c r="C358" s="48">
        <v>30000</v>
      </c>
      <c r="D358" s="129">
        <f>C358</f>
        <v>30000</v>
      </c>
    </row>
    <row r="359" spans="1:8" ht="16" thickBot="1" x14ac:dyDescent="0.25">
      <c r="A359" s="130" t="s">
        <v>339</v>
      </c>
      <c r="B359" s="129">
        <v>20000</v>
      </c>
      <c r="C359" s="129">
        <f>B359</f>
        <v>20000</v>
      </c>
      <c r="D359" s="129">
        <f>C359</f>
        <v>20000</v>
      </c>
    </row>
    <row r="360" spans="1:8" ht="27" thickBot="1" x14ac:dyDescent="0.25">
      <c r="A360" s="130" t="s">
        <v>396</v>
      </c>
      <c r="B360" s="129"/>
      <c r="C360" s="129">
        <f>C361+C362</f>
        <v>6000</v>
      </c>
      <c r="D360" s="129">
        <f>D361+D362</f>
        <v>6000</v>
      </c>
      <c r="E360" s="1">
        <v>1.8</v>
      </c>
      <c r="F360" s="73">
        <v>0.2</v>
      </c>
      <c r="G360" s="134">
        <v>7.4999999999999997E-2</v>
      </c>
    </row>
    <row r="361" spans="1:8" ht="27" thickBot="1" x14ac:dyDescent="0.25">
      <c r="A361" s="135" t="s">
        <v>402</v>
      </c>
      <c r="B361" s="136"/>
      <c r="C361" s="137">
        <f>C358*F360</f>
        <v>6000</v>
      </c>
      <c r="D361" s="138">
        <f>D358*F361</f>
        <v>4050.0000000000005</v>
      </c>
      <c r="E361" s="139" t="s">
        <v>404</v>
      </c>
      <c r="F361" s="140">
        <f>G360*E360</f>
        <v>0.13500000000000001</v>
      </c>
      <c r="G361" s="1"/>
    </row>
    <row r="362" spans="1:8" ht="27" thickBot="1" x14ac:dyDescent="0.25">
      <c r="A362" s="135" t="s">
        <v>403</v>
      </c>
      <c r="B362" s="136"/>
      <c r="C362" s="136"/>
      <c r="D362" s="138">
        <f>D358*F362</f>
        <v>1950</v>
      </c>
      <c r="E362" s="139" t="s">
        <v>405</v>
      </c>
      <c r="F362" s="141">
        <f>F360-F361</f>
        <v>6.5000000000000002E-2</v>
      </c>
      <c r="G362" s="1"/>
    </row>
    <row r="363" spans="1:8" ht="16" thickBot="1" x14ac:dyDescent="0.25">
      <c r="A363" s="47" t="s">
        <v>156</v>
      </c>
      <c r="B363" s="129">
        <f>B359-B360</f>
        <v>20000</v>
      </c>
      <c r="C363" s="129">
        <f>C359-C360</f>
        <v>14000</v>
      </c>
      <c r="D363" s="129">
        <f t="shared" ref="D363" si="25">D359-D360</f>
        <v>14000</v>
      </c>
      <c r="F363" s="175">
        <f>F361+F362</f>
        <v>0.2</v>
      </c>
    </row>
    <row r="364" spans="1:8" ht="16" thickBot="1" x14ac:dyDescent="0.25">
      <c r="A364" s="47" t="s">
        <v>157</v>
      </c>
      <c r="B364" s="129">
        <f>B363+B362</f>
        <v>20000</v>
      </c>
      <c r="C364" s="129">
        <f t="shared" ref="C364" si="26">C363+C362</f>
        <v>14000</v>
      </c>
      <c r="D364" s="129">
        <f>D363+D362</f>
        <v>15950</v>
      </c>
    </row>
    <row r="365" spans="1:8" ht="16" thickBot="1" x14ac:dyDescent="0.25">
      <c r="A365" s="47" t="s">
        <v>161</v>
      </c>
      <c r="B365" s="129">
        <f>B364*0.2</f>
        <v>4000</v>
      </c>
      <c r="C365" s="129">
        <f t="shared" ref="C365" si="27">C364*0.2</f>
        <v>2800</v>
      </c>
      <c r="D365" s="129">
        <f>D364*0.2</f>
        <v>3190</v>
      </c>
    </row>
    <row r="366" spans="1:8" ht="16" thickBot="1" x14ac:dyDescent="0.25">
      <c r="A366" s="47" t="s">
        <v>227</v>
      </c>
      <c r="B366" s="129">
        <f>B363-B365</f>
        <v>16000</v>
      </c>
      <c r="C366" s="129">
        <f t="shared" ref="C366" si="28">C363-C365</f>
        <v>11200</v>
      </c>
      <c r="D366" s="129">
        <f>D363-D365</f>
        <v>10810</v>
      </c>
    </row>
    <row r="367" spans="1:8" ht="53" thickBot="1" x14ac:dyDescent="0.25">
      <c r="A367" s="47" t="s">
        <v>397</v>
      </c>
      <c r="B367" s="142">
        <f>B366/B357</f>
        <v>0.17777777777777778</v>
      </c>
      <c r="C367" s="142">
        <f t="shared" ref="C367:D367" si="29">C366/C357</f>
        <v>0.18666666666666668</v>
      </c>
      <c r="D367" s="142">
        <f t="shared" si="29"/>
        <v>0.18016666666666667</v>
      </c>
    </row>
    <row r="368" spans="1:8" ht="16" thickBot="1" x14ac:dyDescent="0.25">
      <c r="A368" s="47" t="s">
        <v>398</v>
      </c>
      <c r="B368" s="131"/>
      <c r="C368" s="144">
        <f>C367-B367</f>
        <v>8.8888888888888906E-3</v>
      </c>
      <c r="D368" s="144">
        <f>D367-B367</f>
        <v>2.3888888888888848E-3</v>
      </c>
    </row>
    <row r="369" spans="1:7" ht="31" thickBot="1" x14ac:dyDescent="0.25">
      <c r="A369" s="132" t="s">
        <v>399</v>
      </c>
      <c r="B369" s="129"/>
      <c r="C369" s="143">
        <f>0.8*(C370-F360)*C358/C357</f>
        <v>8.8888888888888802E-3</v>
      </c>
      <c r="D369" s="143">
        <f>0.8*(D370-F361)*C358/C357-F362*D358/D357</f>
        <v>2.3888888888888779E-3</v>
      </c>
    </row>
    <row r="370" spans="1:7" ht="27" thickBot="1" x14ac:dyDescent="0.25">
      <c r="A370" s="47" t="s">
        <v>400</v>
      </c>
      <c r="B370" s="142">
        <f>B359/B356</f>
        <v>0.22222222222222221</v>
      </c>
      <c r="C370" s="142">
        <f t="shared" ref="C370:D370" si="30">C359/C356</f>
        <v>0.22222222222222221</v>
      </c>
      <c r="D370" s="142">
        <f t="shared" si="30"/>
        <v>0.22222222222222221</v>
      </c>
    </row>
    <row r="371" spans="1:7" ht="16" thickBot="1" x14ac:dyDescent="0.25"/>
    <row r="372" spans="1:7" x14ac:dyDescent="0.2">
      <c r="A372" s="273" t="s">
        <v>358</v>
      </c>
      <c r="B372" s="275" t="s">
        <v>391</v>
      </c>
      <c r="C372" s="127"/>
      <c r="D372" s="127"/>
    </row>
    <row r="373" spans="1:7" ht="16" thickBot="1" x14ac:dyDescent="0.25">
      <c r="A373" s="274"/>
      <c r="B373" s="276"/>
      <c r="C373" s="48" t="s">
        <v>392</v>
      </c>
      <c r="D373" s="48" t="s">
        <v>393</v>
      </c>
    </row>
    <row r="374" spans="1:7" ht="16" thickBot="1" x14ac:dyDescent="0.25">
      <c r="A374" s="47" t="s">
        <v>394</v>
      </c>
      <c r="B374" s="48">
        <f>B375+B376</f>
        <v>90000</v>
      </c>
      <c r="C374" s="48">
        <f t="shared" ref="C374" si="31">C375+C376</f>
        <v>90000</v>
      </c>
      <c r="D374" s="48">
        <f t="shared" ref="D374" si="32">D375+D376</f>
        <v>90000</v>
      </c>
    </row>
    <row r="375" spans="1:7" ht="16" thickBot="1" x14ac:dyDescent="0.25">
      <c r="A375" s="128" t="s">
        <v>395</v>
      </c>
      <c r="B375" s="48">
        <v>90000</v>
      </c>
      <c r="C375" s="48">
        <v>60000</v>
      </c>
      <c r="D375" s="129">
        <f>C375</f>
        <v>60000</v>
      </c>
    </row>
    <row r="376" spans="1:7" ht="16" thickBot="1" x14ac:dyDescent="0.25">
      <c r="A376" s="128" t="s">
        <v>401</v>
      </c>
      <c r="B376" s="48"/>
      <c r="C376" s="48">
        <v>30000</v>
      </c>
      <c r="D376" s="129">
        <f>C376</f>
        <v>30000</v>
      </c>
    </row>
    <row r="377" spans="1:7" ht="16" thickBot="1" x14ac:dyDescent="0.25">
      <c r="A377" s="130" t="s">
        <v>339</v>
      </c>
      <c r="B377" s="129">
        <v>20000</v>
      </c>
      <c r="C377" s="129">
        <f>B377</f>
        <v>20000</v>
      </c>
      <c r="D377" s="129">
        <f>C377</f>
        <v>20000</v>
      </c>
    </row>
    <row r="378" spans="1:7" ht="27" thickBot="1" x14ac:dyDescent="0.25">
      <c r="A378" s="130" t="s">
        <v>396</v>
      </c>
      <c r="B378" s="129"/>
      <c r="C378" s="129">
        <f>C379+C380</f>
        <v>6000</v>
      </c>
      <c r="D378" s="129">
        <f>D379+D380</f>
        <v>6000.0000000000009</v>
      </c>
      <c r="E378" s="1">
        <v>1.25</v>
      </c>
      <c r="F378" s="73">
        <v>0.2</v>
      </c>
      <c r="G378" s="134">
        <v>4.4999999999999998E-2</v>
      </c>
    </row>
    <row r="379" spans="1:7" ht="27" thickBot="1" x14ac:dyDescent="0.25">
      <c r="A379" s="135" t="s">
        <v>402</v>
      </c>
      <c r="B379" s="136"/>
      <c r="C379" s="137">
        <f>C376*F378</f>
        <v>6000</v>
      </c>
      <c r="D379" s="138">
        <f>D376*F379</f>
        <v>1687.4999999999998</v>
      </c>
      <c r="E379" s="139" t="s">
        <v>404</v>
      </c>
      <c r="F379" s="140">
        <f>G378*E378</f>
        <v>5.6249999999999994E-2</v>
      </c>
      <c r="G379" s="1"/>
    </row>
    <row r="380" spans="1:7" ht="27" thickBot="1" x14ac:dyDescent="0.25">
      <c r="A380" s="135" t="s">
        <v>403</v>
      </c>
      <c r="B380" s="136"/>
      <c r="C380" s="136"/>
      <c r="D380" s="138">
        <f>D376*F380</f>
        <v>4312.5000000000009</v>
      </c>
      <c r="E380" s="139" t="s">
        <v>405</v>
      </c>
      <c r="F380" s="141">
        <f>F378-F379</f>
        <v>0.14375000000000002</v>
      </c>
      <c r="G380" s="1"/>
    </row>
    <row r="381" spans="1:7" ht="16" thickBot="1" x14ac:dyDescent="0.25">
      <c r="A381" s="47" t="s">
        <v>156</v>
      </c>
      <c r="B381" s="129">
        <f>B377-B378</f>
        <v>20000</v>
      </c>
      <c r="C381" s="129">
        <f>C377-C378</f>
        <v>14000</v>
      </c>
      <c r="D381" s="129">
        <f t="shared" ref="D381" si="33">D377-D378</f>
        <v>14000</v>
      </c>
    </row>
    <row r="382" spans="1:7" ht="16" thickBot="1" x14ac:dyDescent="0.25">
      <c r="A382" s="47" t="s">
        <v>157</v>
      </c>
      <c r="B382" s="129">
        <f>B381+B380</f>
        <v>20000</v>
      </c>
      <c r="C382" s="129">
        <f t="shared" ref="C382" si="34">C381+C380</f>
        <v>14000</v>
      </c>
      <c r="D382" s="129">
        <f t="shared" ref="D382" si="35">D381+D380</f>
        <v>18312.5</v>
      </c>
    </row>
    <row r="383" spans="1:7" ht="16" thickBot="1" x14ac:dyDescent="0.25">
      <c r="A383" s="47" t="s">
        <v>161</v>
      </c>
      <c r="B383" s="129">
        <f>B382*0.2</f>
        <v>4000</v>
      </c>
      <c r="C383" s="129">
        <f t="shared" ref="C383" si="36">C382*0.2</f>
        <v>2800</v>
      </c>
      <c r="D383" s="129">
        <f t="shared" ref="D383" si="37">D382*0.2</f>
        <v>3662.5</v>
      </c>
    </row>
    <row r="384" spans="1:7" ht="16" thickBot="1" x14ac:dyDescent="0.25">
      <c r="A384" s="47" t="s">
        <v>227</v>
      </c>
      <c r="B384" s="129">
        <f>B381-B383</f>
        <v>16000</v>
      </c>
      <c r="C384" s="129">
        <f t="shared" ref="C384" si="38">C381-C383</f>
        <v>11200</v>
      </c>
      <c r="D384" s="129">
        <f t="shared" ref="D384" si="39">D381-D383</f>
        <v>10337.5</v>
      </c>
    </row>
    <row r="385" spans="1:8" ht="53" thickBot="1" x14ac:dyDescent="0.25">
      <c r="A385" s="47" t="s">
        <v>397</v>
      </c>
      <c r="B385" s="142">
        <f>B384/B375</f>
        <v>0.17777777777777778</v>
      </c>
      <c r="C385" s="142">
        <f t="shared" ref="C385" si="40">C384/C375</f>
        <v>0.18666666666666668</v>
      </c>
      <c r="D385" s="142">
        <f t="shared" ref="D385" si="41">D384/D375</f>
        <v>0.17229166666666668</v>
      </c>
    </row>
    <row r="386" spans="1:8" ht="16" thickBot="1" x14ac:dyDescent="0.25">
      <c r="A386" s="47" t="s">
        <v>398</v>
      </c>
      <c r="B386" s="131"/>
      <c r="C386" s="144">
        <f>C385-B385</f>
        <v>8.8888888888888906E-3</v>
      </c>
      <c r="D386" s="144">
        <f>D385-B385</f>
        <v>-5.4861111111111083E-3</v>
      </c>
    </row>
    <row r="387" spans="1:8" ht="31" thickBot="1" x14ac:dyDescent="0.25">
      <c r="A387" s="132" t="s">
        <v>399</v>
      </c>
      <c r="B387" s="129"/>
      <c r="C387" s="143">
        <f>0.8*(C388-F378)*C376/C375</f>
        <v>8.8888888888888802E-3</v>
      </c>
      <c r="D387" s="143">
        <f>0.8*(D388-F379)*C376/C375-F380*D376/D375</f>
        <v>-5.4861111111111222E-3</v>
      </c>
    </row>
    <row r="388" spans="1:8" ht="27" thickBot="1" x14ac:dyDescent="0.25">
      <c r="A388" s="47" t="s">
        <v>400</v>
      </c>
      <c r="B388" s="142">
        <f>B377/B374</f>
        <v>0.22222222222222221</v>
      </c>
      <c r="C388" s="142">
        <f t="shared" ref="C388:D388" si="42">C377/C374</f>
        <v>0.22222222222222221</v>
      </c>
      <c r="D388" s="142">
        <f t="shared" si="42"/>
        <v>0.22222222222222221</v>
      </c>
    </row>
    <row r="390" spans="1:8" x14ac:dyDescent="0.2">
      <c r="A390" s="115" t="s">
        <v>406</v>
      </c>
    </row>
    <row r="391" spans="1:8" ht="38" customHeight="1" thickBot="1" x14ac:dyDescent="0.25">
      <c r="A391" s="271" t="s">
        <v>407</v>
      </c>
      <c r="B391" s="272"/>
      <c r="C391" s="272"/>
      <c r="D391" s="272"/>
      <c r="E391" s="272"/>
      <c r="F391" s="272"/>
      <c r="G391" s="272"/>
      <c r="H391" s="272"/>
    </row>
    <row r="392" spans="1:8" ht="16" thickBot="1" x14ac:dyDescent="0.25">
      <c r="A392" s="41" t="s">
        <v>358</v>
      </c>
      <c r="B392" s="282" t="s">
        <v>408</v>
      </c>
      <c r="C392" s="283"/>
    </row>
    <row r="393" spans="1:8" x14ac:dyDescent="0.2">
      <c r="A393" s="280"/>
      <c r="B393" s="277" t="s">
        <v>348</v>
      </c>
      <c r="C393" s="277" t="s">
        <v>409</v>
      </c>
    </row>
    <row r="394" spans="1:8" ht="16" thickBot="1" x14ac:dyDescent="0.25">
      <c r="A394" s="281"/>
      <c r="B394" s="279"/>
      <c r="C394" s="279"/>
    </row>
    <row r="395" spans="1:8" ht="16" thickBot="1" x14ac:dyDescent="0.25">
      <c r="A395" s="89" t="s">
        <v>410</v>
      </c>
      <c r="B395" s="95">
        <v>87680</v>
      </c>
      <c r="C395" s="147">
        <v>148300</v>
      </c>
    </row>
    <row r="396" spans="1:8" ht="16" thickBot="1" x14ac:dyDescent="0.25">
      <c r="A396" s="89" t="s">
        <v>411</v>
      </c>
      <c r="B396" s="95">
        <v>55400</v>
      </c>
      <c r="C396" s="95">
        <v>79150</v>
      </c>
    </row>
    <row r="397" spans="1:8" ht="16" thickBot="1" x14ac:dyDescent="0.25">
      <c r="A397" s="89" t="s">
        <v>412</v>
      </c>
      <c r="B397" s="95">
        <v>12500</v>
      </c>
      <c r="C397" s="95">
        <v>24000</v>
      </c>
    </row>
    <row r="398" spans="1:8" ht="16" thickBot="1" x14ac:dyDescent="0.25">
      <c r="A398" s="89" t="s">
        <v>413</v>
      </c>
      <c r="B398" s="95">
        <v>25</v>
      </c>
      <c r="C398" s="95">
        <v>23</v>
      </c>
    </row>
    <row r="399" spans="1:8" ht="16" thickBot="1" x14ac:dyDescent="0.25">
      <c r="A399" s="89" t="s">
        <v>414</v>
      </c>
      <c r="B399" s="95">
        <v>13</v>
      </c>
      <c r="C399" s="95">
        <v>15</v>
      </c>
    </row>
    <row r="400" spans="1:8" ht="26" x14ac:dyDescent="0.2">
      <c r="A400" s="102" t="s">
        <v>415</v>
      </c>
      <c r="B400" s="277">
        <v>1.6</v>
      </c>
      <c r="C400" s="277">
        <v>1.9</v>
      </c>
    </row>
    <row r="401" spans="1:9" x14ac:dyDescent="0.2">
      <c r="A401" s="102" t="s">
        <v>416</v>
      </c>
      <c r="B401" s="278"/>
      <c r="C401" s="278"/>
    </row>
    <row r="402" spans="1:9" x14ac:dyDescent="0.2">
      <c r="A402" s="1" t="s">
        <v>367</v>
      </c>
      <c r="B402" s="1">
        <f>B395-B396</f>
        <v>32280</v>
      </c>
      <c r="C402" s="35">
        <f>C395-C396</f>
        <v>69150</v>
      </c>
    </row>
    <row r="403" spans="1:9" x14ac:dyDescent="0.2">
      <c r="A403" s="1" t="s">
        <v>368</v>
      </c>
      <c r="B403" s="1">
        <f>B402-B397</f>
        <v>19780</v>
      </c>
      <c r="C403" s="35">
        <f>C402-C397</f>
        <v>45150</v>
      </c>
    </row>
    <row r="404" spans="1:9" x14ac:dyDescent="0.2">
      <c r="A404" s="1" t="s">
        <v>417</v>
      </c>
      <c r="B404" s="44">
        <f>B403/B395</f>
        <v>0.22559306569343066</v>
      </c>
      <c r="C404" s="148">
        <f>C403/C395</f>
        <v>0.30445043830074175</v>
      </c>
    </row>
    <row r="405" spans="1:9" ht="30" x14ac:dyDescent="0.2">
      <c r="A405" s="7" t="s">
        <v>372</v>
      </c>
      <c r="B405" s="43">
        <f>B395/B403</f>
        <v>4.4327603640040447</v>
      </c>
      <c r="C405" s="60">
        <f>C395/C403</f>
        <v>3.284606866002215</v>
      </c>
    </row>
    <row r="406" spans="1:9" ht="30" x14ac:dyDescent="0.2">
      <c r="A406" s="7" t="s">
        <v>418</v>
      </c>
      <c r="B406" s="43">
        <f>B402/B403</f>
        <v>1.6319514661274015</v>
      </c>
      <c r="C406" s="60">
        <f>C402/C403</f>
        <v>1.5315614617940199</v>
      </c>
    </row>
    <row r="407" spans="1:9" ht="30" x14ac:dyDescent="0.2">
      <c r="A407" s="146" t="s">
        <v>399</v>
      </c>
      <c r="B407" s="1">
        <f>0.8*(B398-B399)*B400</f>
        <v>15.360000000000003</v>
      </c>
      <c r="C407" s="1">
        <f>0.8*(C398-C399)*C400</f>
        <v>12.16</v>
      </c>
    </row>
    <row r="409" spans="1:9" ht="48" customHeight="1" x14ac:dyDescent="0.2">
      <c r="A409" s="271" t="s">
        <v>419</v>
      </c>
      <c r="B409" s="272"/>
      <c r="C409" s="272"/>
      <c r="D409" s="272"/>
      <c r="E409" s="272"/>
      <c r="F409" s="272"/>
      <c r="G409" s="272"/>
      <c r="H409" s="272"/>
      <c r="I409" s="272"/>
    </row>
    <row r="410" spans="1:9" ht="65" x14ac:dyDescent="0.2">
      <c r="A410" s="115" t="s">
        <v>420</v>
      </c>
    </row>
    <row r="411" spans="1:9" x14ac:dyDescent="0.2">
      <c r="A411" s="1" t="s">
        <v>0</v>
      </c>
      <c r="B411" s="1">
        <v>1</v>
      </c>
      <c r="C411" s="1">
        <v>2</v>
      </c>
      <c r="D411" s="1">
        <v>3</v>
      </c>
    </row>
    <row r="412" spans="1:9" x14ac:dyDescent="0.2">
      <c r="A412" s="1" t="s">
        <v>421</v>
      </c>
      <c r="B412" s="1">
        <v>21000</v>
      </c>
      <c r="C412" s="1"/>
      <c r="D412" s="1"/>
    </row>
    <row r="413" spans="1:9" x14ac:dyDescent="0.2">
      <c r="A413" s="1" t="s">
        <v>422</v>
      </c>
      <c r="B413" s="1">
        <f>B412/3</f>
        <v>7000</v>
      </c>
      <c r="C413" s="1">
        <f>B413</f>
        <v>7000</v>
      </c>
      <c r="D413" s="1">
        <f>C413</f>
        <v>7000</v>
      </c>
    </row>
    <row r="414" spans="1:9" x14ac:dyDescent="0.2">
      <c r="A414" s="1" t="s">
        <v>423</v>
      </c>
      <c r="B414" s="1">
        <f>1/(1+0.1/12)^0</f>
        <v>1</v>
      </c>
      <c r="C414" s="43">
        <f>1/(1+0.1/12)^1</f>
        <v>0.99173553719008267</v>
      </c>
      <c r="D414" s="43">
        <f>1/(1+0.1/12)^2</f>
        <v>0.98353937572570183</v>
      </c>
    </row>
    <row r="415" spans="1:9" x14ac:dyDescent="0.2">
      <c r="A415" s="1" t="s">
        <v>424</v>
      </c>
      <c r="B415" s="1">
        <f>B413*B414</f>
        <v>7000</v>
      </c>
      <c r="C415" s="1">
        <f t="shared" ref="C415:D415" si="43">C413*C414</f>
        <v>6942.1487603305786</v>
      </c>
      <c r="D415" s="1">
        <f t="shared" si="43"/>
        <v>6884.7756300799128</v>
      </c>
      <c r="E415">
        <f>SUM(B415:D415)</f>
        <v>20826.924390410491</v>
      </c>
      <c r="F415" t="s">
        <v>426</v>
      </c>
    </row>
    <row r="416" spans="1:9" x14ac:dyDescent="0.2">
      <c r="A416" s="149" t="s">
        <v>425</v>
      </c>
      <c r="B416" s="105">
        <f>B412-E415</f>
        <v>173.07560958950853</v>
      </c>
      <c r="C416" s="1"/>
      <c r="D416" s="1"/>
    </row>
  </sheetData>
  <mergeCells count="67">
    <mergeCell ref="A164:E164"/>
    <mergeCell ref="A177:E177"/>
    <mergeCell ref="A190:F190"/>
    <mergeCell ref="A198:F198"/>
    <mergeCell ref="B200:C200"/>
    <mergeCell ref="B131:B132"/>
    <mergeCell ref="C131:C132"/>
    <mergeCell ref="A137:G137"/>
    <mergeCell ref="A148:F148"/>
    <mergeCell ref="A105:E105"/>
    <mergeCell ref="A115:F115"/>
    <mergeCell ref="A125:F125"/>
    <mergeCell ref="A126:A127"/>
    <mergeCell ref="B126:C126"/>
    <mergeCell ref="A33:A34"/>
    <mergeCell ref="B33:C33"/>
    <mergeCell ref="A11:K11"/>
    <mergeCell ref="A12:A13"/>
    <mergeCell ref="B12:C12"/>
    <mergeCell ref="A21:A22"/>
    <mergeCell ref="B21:C21"/>
    <mergeCell ref="A32:I32"/>
    <mergeCell ref="A85:H85"/>
    <mergeCell ref="A86:A87"/>
    <mergeCell ref="B86:C86"/>
    <mergeCell ref="A41:J41"/>
    <mergeCell ref="F42:G42"/>
    <mergeCell ref="I42:J42"/>
    <mergeCell ref="A56:I56"/>
    <mergeCell ref="A68:I68"/>
    <mergeCell ref="A208:K208"/>
    <mergeCell ref="A220:I220"/>
    <mergeCell ref="D222:F222"/>
    <mergeCell ref="D234:F234"/>
    <mergeCell ref="D230:F230"/>
    <mergeCell ref="D224:D225"/>
    <mergeCell ref="A240:F240"/>
    <mergeCell ref="A253:G253"/>
    <mergeCell ref="F254:F255"/>
    <mergeCell ref="E254:E255"/>
    <mergeCell ref="D254:D255"/>
    <mergeCell ref="A254:A255"/>
    <mergeCell ref="A261:H261"/>
    <mergeCell ref="A262:A263"/>
    <mergeCell ref="B262:C262"/>
    <mergeCell ref="A273:H273"/>
    <mergeCell ref="A274:H274"/>
    <mergeCell ref="A284:H284"/>
    <mergeCell ref="A297:H297"/>
    <mergeCell ref="A298:H298"/>
    <mergeCell ref="A299:H299"/>
    <mergeCell ref="A311:H311"/>
    <mergeCell ref="B312:C312"/>
    <mergeCell ref="A333:H333"/>
    <mergeCell ref="A353:H353"/>
    <mergeCell ref="B354:B355"/>
    <mergeCell ref="A354:A355"/>
    <mergeCell ref="A409:I409"/>
    <mergeCell ref="A372:A373"/>
    <mergeCell ref="B372:B373"/>
    <mergeCell ref="A391:H391"/>
    <mergeCell ref="C400:C401"/>
    <mergeCell ref="B400:B401"/>
    <mergeCell ref="C393:C394"/>
    <mergeCell ref="B393:B394"/>
    <mergeCell ref="A393:A394"/>
    <mergeCell ref="B392:C39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3"/>
  <sheetViews>
    <sheetView tabSelected="1" topLeftCell="A80" zoomScale="170" zoomScaleNormal="170" zoomScalePageLayoutView="170" workbookViewId="0">
      <selection activeCell="C89" sqref="C89"/>
    </sheetView>
  </sheetViews>
  <sheetFormatPr baseColWidth="10" defaultRowHeight="15" x14ac:dyDescent="0.2"/>
  <cols>
    <col min="1" max="1" width="36.6640625" customWidth="1"/>
    <col min="2" max="2" width="11.6640625" customWidth="1"/>
    <col min="3" max="3" width="10.5" customWidth="1"/>
    <col min="4" max="4" width="23.6640625" customWidth="1"/>
    <col min="5" max="5" width="36.6640625" customWidth="1"/>
    <col min="6" max="6" width="20.5" customWidth="1"/>
  </cols>
  <sheetData>
    <row r="2" spans="1:9" x14ac:dyDescent="0.2">
      <c r="A2" s="1" t="s">
        <v>0</v>
      </c>
      <c r="B2" s="1" t="s">
        <v>1</v>
      </c>
      <c r="C2" s="1" t="s">
        <v>2</v>
      </c>
      <c r="D2" s="15" t="s">
        <v>85</v>
      </c>
      <c r="E2" s="15" t="s">
        <v>23</v>
      </c>
    </row>
    <row r="3" spans="1:9" x14ac:dyDescent="0.2">
      <c r="A3" s="1" t="s">
        <v>4</v>
      </c>
      <c r="B3" s="174">
        <v>0.18</v>
      </c>
      <c r="C3" s="174">
        <v>0.2</v>
      </c>
      <c r="D3" s="174">
        <f>C3-B3</f>
        <v>2.0000000000000018E-2</v>
      </c>
      <c r="E3" s="44">
        <f>D3/B3</f>
        <v>0.11111111111111122</v>
      </c>
    </row>
    <row r="4" spans="1:9" x14ac:dyDescent="0.2">
      <c r="A4" s="1" t="s">
        <v>5</v>
      </c>
      <c r="B4" s="177">
        <v>1500000</v>
      </c>
      <c r="C4" s="177">
        <v>1800000</v>
      </c>
      <c r="D4" s="177">
        <f>C4-B4</f>
        <v>300000</v>
      </c>
      <c r="E4" s="44">
        <f>D4/B4</f>
        <v>0.2</v>
      </c>
    </row>
    <row r="5" spans="1:9" x14ac:dyDescent="0.2">
      <c r="A5" s="1" t="s">
        <v>6</v>
      </c>
      <c r="B5" s="177">
        <f>B3*B4</f>
        <v>270000</v>
      </c>
      <c r="C5" s="177">
        <f>C3*C4</f>
        <v>360000</v>
      </c>
      <c r="D5" s="227">
        <f>C5-B5</f>
        <v>90000</v>
      </c>
      <c r="E5" s="44">
        <f>D5/B5</f>
        <v>0.33333333333333331</v>
      </c>
    </row>
    <row r="6" spans="1:9" x14ac:dyDescent="0.2">
      <c r="A6" s="1" t="s">
        <v>7</v>
      </c>
      <c r="B6" s="1"/>
      <c r="C6" s="1"/>
      <c r="D6" s="179">
        <f>D3*B4</f>
        <v>30000.000000000025</v>
      </c>
      <c r="E6" s="1"/>
    </row>
    <row r="7" spans="1:9" x14ac:dyDescent="0.2">
      <c r="A7" s="1" t="s">
        <v>8</v>
      </c>
      <c r="B7" s="1"/>
      <c r="C7" s="1"/>
      <c r="D7" s="179">
        <f>D4*C3</f>
        <v>60000</v>
      </c>
      <c r="E7" s="1"/>
    </row>
    <row r="8" spans="1:9" x14ac:dyDescent="0.2">
      <c r="D8" s="329">
        <f>D6+D7</f>
        <v>90000.000000000029</v>
      </c>
    </row>
    <row r="9" spans="1:9" ht="64" customHeight="1" x14ac:dyDescent="0.2">
      <c r="A9" s="272" t="s">
        <v>716</v>
      </c>
      <c r="B9" s="272"/>
      <c r="C9" s="272"/>
      <c r="D9" s="272"/>
      <c r="E9" s="272"/>
      <c r="F9" s="272"/>
      <c r="G9" s="272"/>
      <c r="H9" s="272"/>
    </row>
    <row r="10" spans="1:9" x14ac:dyDescent="0.2">
      <c r="A10" s="293" t="s">
        <v>10</v>
      </c>
      <c r="B10" s="294" t="s">
        <v>11</v>
      </c>
      <c r="C10" s="294"/>
    </row>
    <row r="11" spans="1:9" x14ac:dyDescent="0.2">
      <c r="A11" s="293"/>
      <c r="B11" s="229">
        <v>44196</v>
      </c>
      <c r="C11" s="229">
        <v>44561</v>
      </c>
    </row>
    <row r="12" spans="1:9" x14ac:dyDescent="0.2">
      <c r="A12" s="221" t="s">
        <v>14</v>
      </c>
      <c r="B12" s="222">
        <v>360</v>
      </c>
      <c r="C12" s="222">
        <v>412</v>
      </c>
    </row>
    <row r="13" spans="1:9" x14ac:dyDescent="0.2">
      <c r="A13" s="221" t="s">
        <v>15</v>
      </c>
      <c r="B13" s="222">
        <v>125</v>
      </c>
      <c r="C13" s="222">
        <v>175</v>
      </c>
    </row>
    <row r="14" spans="1:9" x14ac:dyDescent="0.2">
      <c r="A14" s="221" t="s">
        <v>16</v>
      </c>
      <c r="B14" s="222">
        <v>53</v>
      </c>
      <c r="C14" s="222">
        <v>42</v>
      </c>
    </row>
    <row r="15" spans="1:9" ht="16" thickBot="1" x14ac:dyDescent="0.25">
      <c r="A15" s="221" t="s">
        <v>17</v>
      </c>
      <c r="B15" s="222">
        <v>165</v>
      </c>
      <c r="C15" s="222">
        <v>215</v>
      </c>
    </row>
    <row r="16" spans="1:9" ht="16" thickBot="1" x14ac:dyDescent="0.25">
      <c r="A16" s="264" t="s">
        <v>18</v>
      </c>
      <c r="B16" s="265">
        <v>85</v>
      </c>
      <c r="C16" s="331">
        <v>95</v>
      </c>
      <c r="D16" s="332" t="s">
        <v>724</v>
      </c>
      <c r="E16" s="330"/>
      <c r="F16" s="332" t="s">
        <v>725</v>
      </c>
      <c r="G16" s="330"/>
      <c r="H16" s="332" t="s">
        <v>726</v>
      </c>
      <c r="I16" s="330"/>
    </row>
    <row r="17" spans="1:9" x14ac:dyDescent="0.2">
      <c r="A17" s="6" t="s">
        <v>717</v>
      </c>
      <c r="B17" s="229">
        <v>44196</v>
      </c>
      <c r="C17" s="229">
        <v>44561</v>
      </c>
      <c r="D17" s="239" t="s">
        <v>85</v>
      </c>
      <c r="E17" s="239" t="s">
        <v>23</v>
      </c>
      <c r="F17" s="239" t="s">
        <v>24</v>
      </c>
      <c r="G17" s="239" t="s">
        <v>25</v>
      </c>
      <c r="H17" s="239" t="s">
        <v>723</v>
      </c>
      <c r="I17" s="239"/>
    </row>
    <row r="18" spans="1:9" x14ac:dyDescent="0.2">
      <c r="A18" s="221" t="s">
        <v>14</v>
      </c>
      <c r="B18" s="222">
        <v>360</v>
      </c>
      <c r="C18" s="222">
        <v>412</v>
      </c>
      <c r="D18" s="1">
        <f>C18-B18</f>
        <v>52</v>
      </c>
      <c r="E18" s="44">
        <f>D18/B18</f>
        <v>0.14444444444444443</v>
      </c>
      <c r="F18" s="44">
        <f>B18/B$25</f>
        <v>0.55384615384615388</v>
      </c>
      <c r="G18" s="44">
        <f>C18/C$25</f>
        <v>0.513715710723192</v>
      </c>
      <c r="H18" s="122">
        <f>G18-F18</f>
        <v>-4.0130443122961879E-2</v>
      </c>
      <c r="I18" s="1"/>
    </row>
    <row r="19" spans="1:9" x14ac:dyDescent="0.2">
      <c r="A19" s="8" t="s">
        <v>718</v>
      </c>
      <c r="B19" s="2">
        <f>B20+B21</f>
        <v>138</v>
      </c>
      <c r="C19" s="2">
        <f>C20+C21</f>
        <v>137</v>
      </c>
      <c r="D19" s="2">
        <f t="shared" ref="D19:D25" si="0">C19-B19</f>
        <v>-1</v>
      </c>
      <c r="E19" s="40">
        <f t="shared" ref="E19:E25" si="1">D19/B19</f>
        <v>-7.246376811594203E-3</v>
      </c>
      <c r="F19" s="40">
        <f t="shared" ref="F19:F25" si="2">B19/B$25</f>
        <v>0.21230769230769231</v>
      </c>
      <c r="G19" s="40">
        <f t="shared" ref="G19:G25" si="3">C19/C$25</f>
        <v>0.17082294264339151</v>
      </c>
      <c r="H19" s="333">
        <f t="shared" ref="H19:H25" si="4">G19-F19</f>
        <v>-4.1484749664300796E-2</v>
      </c>
      <c r="I19" s="1"/>
    </row>
    <row r="20" spans="1:9" x14ac:dyDescent="0.2">
      <c r="A20" s="6" t="s">
        <v>21</v>
      </c>
      <c r="B20" s="1">
        <f>B14</f>
        <v>53</v>
      </c>
      <c r="C20" s="1">
        <f>C14</f>
        <v>42</v>
      </c>
      <c r="D20" s="1">
        <f t="shared" si="0"/>
        <v>-11</v>
      </c>
      <c r="E20" s="44">
        <f t="shared" si="1"/>
        <v>-0.20754716981132076</v>
      </c>
      <c r="F20" s="44">
        <f t="shared" si="2"/>
        <v>8.1538461538461532E-2</v>
      </c>
      <c r="G20" s="44">
        <f t="shared" si="3"/>
        <v>5.2369077306733167E-2</v>
      </c>
      <c r="H20" s="122">
        <f t="shared" si="4"/>
        <v>-2.9169384231728365E-2</v>
      </c>
      <c r="I20" s="1"/>
    </row>
    <row r="21" spans="1:9" x14ac:dyDescent="0.2">
      <c r="A21" s="221" t="s">
        <v>719</v>
      </c>
      <c r="B21" s="1">
        <f>B16</f>
        <v>85</v>
      </c>
      <c r="C21" s="1">
        <f>C16</f>
        <v>95</v>
      </c>
      <c r="D21" s="1">
        <f t="shared" si="0"/>
        <v>10</v>
      </c>
      <c r="E21" s="334">
        <f t="shared" si="1"/>
        <v>0.11764705882352941</v>
      </c>
      <c r="F21" s="44">
        <f t="shared" si="2"/>
        <v>0.13076923076923078</v>
      </c>
      <c r="G21" s="44">
        <f t="shared" si="3"/>
        <v>0.11845386533665836</v>
      </c>
      <c r="H21" s="122">
        <f t="shared" si="4"/>
        <v>-1.2315365432572417E-2</v>
      </c>
      <c r="I21" s="1"/>
    </row>
    <row r="22" spans="1:9" x14ac:dyDescent="0.2">
      <c r="A22" s="8" t="s">
        <v>720</v>
      </c>
      <c r="B22" s="2">
        <f>B23+B24</f>
        <v>152</v>
      </c>
      <c r="C22" s="2">
        <f>C23+C24</f>
        <v>253</v>
      </c>
      <c r="D22" s="2">
        <f t="shared" si="0"/>
        <v>101</v>
      </c>
      <c r="E22" s="40">
        <f t="shared" si="1"/>
        <v>0.66447368421052633</v>
      </c>
      <c r="F22" s="40">
        <f t="shared" si="2"/>
        <v>0.23384615384615384</v>
      </c>
      <c r="G22" s="40">
        <f t="shared" si="3"/>
        <v>0.31546134663341646</v>
      </c>
      <c r="H22" s="333">
        <f t="shared" si="4"/>
        <v>8.1615192787262619E-2</v>
      </c>
      <c r="I22" s="1"/>
    </row>
    <row r="23" spans="1:9" x14ac:dyDescent="0.2">
      <c r="A23" s="221" t="s">
        <v>721</v>
      </c>
      <c r="B23" s="1">
        <f>B13-B14</f>
        <v>72</v>
      </c>
      <c r="C23" s="1">
        <f>C13-C14</f>
        <v>133</v>
      </c>
      <c r="D23" s="1">
        <f t="shared" si="0"/>
        <v>61</v>
      </c>
      <c r="E23" s="44">
        <f t="shared" si="1"/>
        <v>0.84722222222222221</v>
      </c>
      <c r="F23" s="44">
        <f t="shared" si="2"/>
        <v>0.11076923076923077</v>
      </c>
      <c r="G23" s="44">
        <f t="shared" si="3"/>
        <v>0.16583541147132169</v>
      </c>
      <c r="H23" s="122">
        <f t="shared" si="4"/>
        <v>5.5066180702090919E-2</v>
      </c>
      <c r="I23" s="1"/>
    </row>
    <row r="24" spans="1:9" x14ac:dyDescent="0.2">
      <c r="A24" s="221" t="s">
        <v>722</v>
      </c>
      <c r="B24" s="1">
        <f>B15-B16</f>
        <v>80</v>
      </c>
      <c r="C24" s="1">
        <f>C15-C16</f>
        <v>120</v>
      </c>
      <c r="D24" s="1">
        <f t="shared" si="0"/>
        <v>40</v>
      </c>
      <c r="E24" s="44">
        <f t="shared" si="1"/>
        <v>0.5</v>
      </c>
      <c r="F24" s="44">
        <f t="shared" si="2"/>
        <v>0.12307692307692308</v>
      </c>
      <c r="G24" s="44">
        <f t="shared" si="3"/>
        <v>0.14962593516209477</v>
      </c>
      <c r="H24" s="122">
        <f t="shared" si="4"/>
        <v>2.6549012085171686E-2</v>
      </c>
      <c r="I24" s="1"/>
    </row>
    <row r="25" spans="1:9" x14ac:dyDescent="0.2">
      <c r="A25" s="1" t="s">
        <v>84</v>
      </c>
      <c r="B25" s="1">
        <f>B18+B19+B22</f>
        <v>650</v>
      </c>
      <c r="C25" s="1">
        <f>C18+C19+C22</f>
        <v>802</v>
      </c>
      <c r="D25" s="1">
        <f t="shared" si="0"/>
        <v>152</v>
      </c>
      <c r="E25" s="44">
        <f t="shared" si="1"/>
        <v>0.23384615384615384</v>
      </c>
      <c r="F25" s="44">
        <f t="shared" si="2"/>
        <v>1</v>
      </c>
      <c r="G25" s="44">
        <f t="shared" si="3"/>
        <v>1</v>
      </c>
      <c r="H25" s="122">
        <f t="shared" si="4"/>
        <v>0</v>
      </c>
      <c r="I25" s="1"/>
    </row>
    <row r="27" spans="1:9" ht="30" customHeight="1" x14ac:dyDescent="0.2">
      <c r="A27" s="271" t="s">
        <v>727</v>
      </c>
      <c r="B27" s="272"/>
      <c r="C27" s="272"/>
      <c r="D27" s="272"/>
      <c r="E27" s="272"/>
      <c r="F27" s="272"/>
      <c r="G27" s="272"/>
      <c r="H27" s="272"/>
    </row>
    <row r="28" spans="1:9" x14ac:dyDescent="0.2">
      <c r="A28" s="115" t="s">
        <v>728</v>
      </c>
    </row>
    <row r="29" spans="1:9" x14ac:dyDescent="0.2">
      <c r="A29" s="293" t="s">
        <v>32</v>
      </c>
      <c r="B29" s="294" t="s">
        <v>33</v>
      </c>
      <c r="C29" s="294"/>
      <c r="D29" s="1"/>
    </row>
    <row r="30" spans="1:9" ht="39" x14ac:dyDescent="0.2">
      <c r="A30" s="293"/>
      <c r="B30" s="221" t="s">
        <v>34</v>
      </c>
      <c r="C30" s="221" t="s">
        <v>35</v>
      </c>
      <c r="D30" s="1" t="s">
        <v>605</v>
      </c>
    </row>
    <row r="31" spans="1:9" x14ac:dyDescent="0.2">
      <c r="A31" s="221" t="s">
        <v>36</v>
      </c>
      <c r="B31" s="222">
        <v>25</v>
      </c>
      <c r="C31" s="222">
        <v>22</v>
      </c>
      <c r="D31" s="1">
        <f>(B31-C31)*0.2</f>
        <v>0.60000000000000009</v>
      </c>
      <c r="E31" t="s">
        <v>43</v>
      </c>
    </row>
    <row r="32" spans="1:9" x14ac:dyDescent="0.2">
      <c r="A32" s="221" t="s">
        <v>37</v>
      </c>
      <c r="B32" s="222">
        <v>40</v>
      </c>
      <c r="C32" s="222">
        <v>30</v>
      </c>
      <c r="D32" s="1">
        <f>(B32-C32)*0.2</f>
        <v>2</v>
      </c>
      <c r="E32" t="s">
        <v>43</v>
      </c>
    </row>
    <row r="33" spans="1:5" x14ac:dyDescent="0.2">
      <c r="A33" s="221" t="s">
        <v>38</v>
      </c>
      <c r="B33" s="222">
        <v>4</v>
      </c>
      <c r="C33" s="222">
        <v>2</v>
      </c>
      <c r="D33" s="1">
        <f>(B33-C33)*0.2</f>
        <v>0.4</v>
      </c>
      <c r="E33" t="s">
        <v>44</v>
      </c>
    </row>
    <row r="34" spans="1:5" x14ac:dyDescent="0.2">
      <c r="A34" s="221" t="s">
        <v>39</v>
      </c>
      <c r="B34" s="222">
        <v>2.5</v>
      </c>
      <c r="C34" s="222">
        <v>0</v>
      </c>
      <c r="D34" s="1">
        <f>(B34-C34)*0.2</f>
        <v>0.5</v>
      </c>
      <c r="E34" t="s">
        <v>45</v>
      </c>
    </row>
    <row r="35" spans="1:5" x14ac:dyDescent="0.2">
      <c r="A35" s="1" t="s">
        <v>606</v>
      </c>
      <c r="B35" s="1"/>
      <c r="C35" s="1"/>
      <c r="D35" s="1">
        <f>D31+D32+D33-D34</f>
        <v>2.5</v>
      </c>
    </row>
    <row r="36" spans="1:5" ht="16" thickBot="1" x14ac:dyDescent="0.25">
      <c r="D36" t="s">
        <v>729</v>
      </c>
    </row>
    <row r="37" spans="1:5" ht="16" thickBot="1" x14ac:dyDescent="0.25">
      <c r="A37" s="45" t="s">
        <v>77</v>
      </c>
      <c r="B37" s="335">
        <v>44196</v>
      </c>
      <c r="C37" s="335">
        <v>44561</v>
      </c>
    </row>
    <row r="38" spans="1:5" x14ac:dyDescent="0.2">
      <c r="A38" s="336" t="s">
        <v>14</v>
      </c>
      <c r="B38" s="337">
        <v>1600</v>
      </c>
      <c r="C38" s="337">
        <v>1800</v>
      </c>
    </row>
    <row r="39" spans="1:5" x14ac:dyDescent="0.2">
      <c r="A39" s="336" t="s">
        <v>80</v>
      </c>
      <c r="B39" s="337">
        <v>1340</v>
      </c>
      <c r="C39" s="337">
        <v>1200</v>
      </c>
    </row>
    <row r="40" spans="1:5" x14ac:dyDescent="0.2">
      <c r="A40" s="336" t="s">
        <v>81</v>
      </c>
      <c r="B40" s="337">
        <v>960</v>
      </c>
      <c r="C40" s="337">
        <v>1100</v>
      </c>
    </row>
    <row r="41" spans="1:5" x14ac:dyDescent="0.2">
      <c r="A41" s="336" t="s">
        <v>82</v>
      </c>
      <c r="B41" s="337">
        <v>700</v>
      </c>
      <c r="C41" s="337">
        <v>500</v>
      </c>
    </row>
    <row r="42" spans="1:5" x14ac:dyDescent="0.2">
      <c r="A42" s="338" t="s">
        <v>646</v>
      </c>
      <c r="B42" s="1">
        <f>B38+B41</f>
        <v>2300</v>
      </c>
      <c r="C42" s="1">
        <f>C38+C41</f>
        <v>2300</v>
      </c>
    </row>
    <row r="43" spans="1:5" x14ac:dyDescent="0.2">
      <c r="A43" s="338" t="s">
        <v>450</v>
      </c>
      <c r="B43" s="1">
        <f>B39+B40</f>
        <v>2300</v>
      </c>
      <c r="C43" s="1">
        <f>C39+C40</f>
        <v>2300</v>
      </c>
    </row>
    <row r="45" spans="1:5" x14ac:dyDescent="0.2">
      <c r="A45" s="173" t="s">
        <v>730</v>
      </c>
    </row>
    <row r="46" spans="1:5" ht="26" x14ac:dyDescent="0.2">
      <c r="A46" s="340" t="s">
        <v>731</v>
      </c>
    </row>
    <row r="47" spans="1:5" ht="26" x14ac:dyDescent="0.2">
      <c r="A47" s="340" t="s">
        <v>732</v>
      </c>
    </row>
    <row r="48" spans="1:5" ht="26" x14ac:dyDescent="0.2">
      <c r="A48" s="340" t="s">
        <v>733</v>
      </c>
    </row>
    <row r="49" spans="1:10" ht="26" x14ac:dyDescent="0.2">
      <c r="A49" s="340" t="s">
        <v>734</v>
      </c>
    </row>
    <row r="50" spans="1:10" ht="20" customHeight="1" x14ac:dyDescent="0.2">
      <c r="A50" s="115" t="s">
        <v>735</v>
      </c>
    </row>
    <row r="51" spans="1:10" ht="25" customHeight="1" x14ac:dyDescent="0.2">
      <c r="A51" s="340" t="s">
        <v>736</v>
      </c>
    </row>
    <row r="52" spans="1:10" ht="21" customHeight="1" x14ac:dyDescent="0.2">
      <c r="A52" s="286" t="s">
        <v>737</v>
      </c>
      <c r="B52" s="272"/>
      <c r="C52" s="272"/>
      <c r="D52" s="272"/>
      <c r="E52" s="272"/>
      <c r="F52" s="272"/>
      <c r="G52" s="272"/>
      <c r="H52" s="272"/>
    </row>
    <row r="53" spans="1:10" ht="16" thickBot="1" x14ac:dyDescent="0.25">
      <c r="A53" s="341" t="s">
        <v>738</v>
      </c>
      <c r="B53" s="21" t="s">
        <v>48</v>
      </c>
      <c r="C53" s="21" t="s">
        <v>49</v>
      </c>
      <c r="D53" s="21" t="s">
        <v>50</v>
      </c>
      <c r="F53" t="s">
        <v>739</v>
      </c>
      <c r="I53" t="s">
        <v>740</v>
      </c>
    </row>
    <row r="54" spans="1:10" x14ac:dyDescent="0.2">
      <c r="A54" s="22" t="s">
        <v>743</v>
      </c>
      <c r="B54" s="23">
        <v>60</v>
      </c>
      <c r="C54" s="23">
        <v>51</v>
      </c>
      <c r="D54" s="24">
        <v>320</v>
      </c>
      <c r="E54" s="255"/>
      <c r="F54" s="1" t="s">
        <v>48</v>
      </c>
      <c r="G54" s="1" t="s">
        <v>49</v>
      </c>
      <c r="H54" s="1"/>
      <c r="I54" s="1" t="s">
        <v>48</v>
      </c>
      <c r="J54" s="1" t="s">
        <v>49</v>
      </c>
    </row>
    <row r="55" spans="1:10" ht="30" x14ac:dyDescent="0.2">
      <c r="A55" s="25" t="s">
        <v>744</v>
      </c>
      <c r="B55" s="1">
        <v>41</v>
      </c>
      <c r="C55" s="1">
        <v>60</v>
      </c>
      <c r="D55" s="342">
        <f>320/1.2</f>
        <v>266.66666666666669</v>
      </c>
      <c r="E55" s="254" t="s">
        <v>741</v>
      </c>
      <c r="F55" s="1">
        <v>88</v>
      </c>
      <c r="G55" s="1"/>
      <c r="H55" s="7" t="s">
        <v>741</v>
      </c>
      <c r="I55" s="1"/>
      <c r="J55" s="1">
        <v>145</v>
      </c>
    </row>
    <row r="56" spans="1:10" x14ac:dyDescent="0.2">
      <c r="A56" s="25" t="s">
        <v>745</v>
      </c>
      <c r="B56" s="2">
        <v>19</v>
      </c>
      <c r="C56" s="1">
        <v>60</v>
      </c>
      <c r="D56" s="342">
        <f>320-D55</f>
        <v>53.333333333333314</v>
      </c>
      <c r="E56" s="254" t="s">
        <v>53</v>
      </c>
      <c r="F56" s="339">
        <f>D56</f>
        <v>53.333333333333314</v>
      </c>
      <c r="G56" s="1">
        <f>D57</f>
        <v>44</v>
      </c>
      <c r="H56" s="7" t="s">
        <v>53</v>
      </c>
      <c r="I56" s="1">
        <f>D57+D61</f>
        <v>92</v>
      </c>
      <c r="J56" s="1">
        <f>D60</f>
        <v>75</v>
      </c>
    </row>
    <row r="57" spans="1:10" ht="31" thickBot="1" x14ac:dyDescent="0.25">
      <c r="A57" s="27" t="s">
        <v>746</v>
      </c>
      <c r="B57" s="349" t="s">
        <v>69</v>
      </c>
      <c r="C57" s="348">
        <v>19</v>
      </c>
      <c r="D57" s="29">
        <v>44</v>
      </c>
      <c r="E57" s="254" t="s">
        <v>742</v>
      </c>
      <c r="F57" s="339">
        <f>F55+F56-G56</f>
        <v>97.333333333333314</v>
      </c>
      <c r="G57" s="1"/>
      <c r="H57" s="7" t="s">
        <v>742</v>
      </c>
      <c r="I57" s="1"/>
      <c r="J57" s="1">
        <f>J55+J56-I56</f>
        <v>128</v>
      </c>
    </row>
    <row r="58" spans="1:10" ht="18" customHeight="1" x14ac:dyDescent="0.2">
      <c r="A58" s="239" t="s">
        <v>747</v>
      </c>
      <c r="B58" s="239">
        <v>51</v>
      </c>
      <c r="C58" s="239">
        <v>62</v>
      </c>
      <c r="D58" s="239">
        <v>450</v>
      </c>
      <c r="E58" s="254" t="s">
        <v>612</v>
      </c>
      <c r="F58" s="339">
        <f>F57-F55</f>
        <v>9.3333333333333144</v>
      </c>
      <c r="G58" s="1"/>
      <c r="H58" s="7" t="s">
        <v>612</v>
      </c>
      <c r="I58" s="1"/>
      <c r="J58" s="1">
        <f>J57-J55</f>
        <v>-17</v>
      </c>
    </row>
    <row r="59" spans="1:10" ht="30" x14ac:dyDescent="0.2">
      <c r="A59" s="1" t="s">
        <v>749</v>
      </c>
      <c r="B59" s="1">
        <v>62</v>
      </c>
      <c r="C59" s="1" t="s">
        <v>70</v>
      </c>
      <c r="D59" s="1">
        <v>450</v>
      </c>
      <c r="E59" s="254" t="s">
        <v>86</v>
      </c>
      <c r="F59" s="44">
        <f>F58/F55</f>
        <v>0.10606060606060584</v>
      </c>
      <c r="G59" s="1"/>
      <c r="H59" s="7" t="s">
        <v>86</v>
      </c>
      <c r="I59" s="1"/>
      <c r="J59" s="44">
        <f>J58/J55</f>
        <v>-0.11724137931034483</v>
      </c>
    </row>
    <row r="60" spans="1:10" x14ac:dyDescent="0.2">
      <c r="A60" s="1" t="s">
        <v>748</v>
      </c>
      <c r="B60" s="1" t="s">
        <v>71</v>
      </c>
      <c r="C60" s="235" t="s">
        <v>69</v>
      </c>
      <c r="D60" s="1">
        <f>D59*20/120</f>
        <v>75</v>
      </c>
    </row>
    <row r="61" spans="1:10" x14ac:dyDescent="0.2">
      <c r="A61" s="1" t="s">
        <v>621</v>
      </c>
      <c r="B61" s="235" t="s">
        <v>69</v>
      </c>
      <c r="C61" s="1">
        <v>51</v>
      </c>
      <c r="D61" s="1">
        <v>48</v>
      </c>
    </row>
    <row r="62" spans="1:10" x14ac:dyDescent="0.2">
      <c r="A62" s="343" t="s">
        <v>750</v>
      </c>
      <c r="B62" s="344" t="s">
        <v>72</v>
      </c>
      <c r="C62" s="344">
        <v>41</v>
      </c>
      <c r="D62" s="345"/>
    </row>
    <row r="63" spans="1:10" x14ac:dyDescent="0.2">
      <c r="A63" s="343" t="s">
        <v>751</v>
      </c>
      <c r="B63" s="344" t="s">
        <v>73</v>
      </c>
      <c r="C63" s="344">
        <v>99</v>
      </c>
      <c r="D63" s="345"/>
    </row>
    <row r="64" spans="1:10" x14ac:dyDescent="0.2">
      <c r="A64" s="343" t="s">
        <v>68</v>
      </c>
      <c r="B64" s="346">
        <v>99</v>
      </c>
      <c r="C64" s="347" t="s">
        <v>74</v>
      </c>
      <c r="D64" s="345"/>
    </row>
    <row r="66" spans="1:9" ht="29" customHeight="1" x14ac:dyDescent="0.2">
      <c r="A66" s="350" t="s">
        <v>752</v>
      </c>
      <c r="B66" s="351"/>
      <c r="C66" s="351"/>
      <c r="D66" s="351"/>
      <c r="E66" s="351"/>
      <c r="F66" s="351"/>
      <c r="G66" s="351"/>
      <c r="H66" s="351"/>
      <c r="I66" s="351"/>
    </row>
    <row r="67" spans="1:9" x14ac:dyDescent="0.2">
      <c r="A67" s="221" t="s">
        <v>77</v>
      </c>
      <c r="B67" s="90">
        <v>44196</v>
      </c>
      <c r="C67" s="90">
        <v>44561</v>
      </c>
      <c r="D67" s="1" t="s">
        <v>652</v>
      </c>
      <c r="E67" s="1" t="s">
        <v>653</v>
      </c>
    </row>
    <row r="68" spans="1:9" x14ac:dyDescent="0.2">
      <c r="A68" s="221" t="s">
        <v>14</v>
      </c>
      <c r="B68" s="222">
        <v>1700</v>
      </c>
      <c r="C68" s="222">
        <v>2000</v>
      </c>
      <c r="D68" s="1">
        <f>C68-B68</f>
        <v>300</v>
      </c>
      <c r="E68" s="44">
        <f>D68/B68</f>
        <v>0.17647058823529413</v>
      </c>
    </row>
    <row r="69" spans="1:9" x14ac:dyDescent="0.2">
      <c r="A69" s="221" t="s">
        <v>80</v>
      </c>
      <c r="B69" s="222">
        <v>1440</v>
      </c>
      <c r="C69" s="222">
        <v>1400</v>
      </c>
      <c r="D69" s="1">
        <f t="shared" ref="D69:D71" si="5">C69-B69</f>
        <v>-40</v>
      </c>
      <c r="E69" s="44">
        <f t="shared" ref="E69:E71" si="6">D69/B69</f>
        <v>-2.7777777777777776E-2</v>
      </c>
    </row>
    <row r="70" spans="1:9" x14ac:dyDescent="0.2">
      <c r="A70" s="221" t="s">
        <v>81</v>
      </c>
      <c r="B70" s="222">
        <v>1060</v>
      </c>
      <c r="C70" s="222">
        <v>1300</v>
      </c>
      <c r="D70" s="1">
        <f t="shared" si="5"/>
        <v>240</v>
      </c>
      <c r="E70" s="44">
        <f t="shared" si="6"/>
        <v>0.22641509433962265</v>
      </c>
    </row>
    <row r="71" spans="1:9" x14ac:dyDescent="0.2">
      <c r="A71" s="221" t="s">
        <v>82</v>
      </c>
      <c r="B71" s="222">
        <v>800</v>
      </c>
      <c r="C71" s="222">
        <v>700</v>
      </c>
      <c r="D71" s="1">
        <f t="shared" si="5"/>
        <v>-100</v>
      </c>
      <c r="E71" s="44">
        <f t="shared" si="6"/>
        <v>-0.125</v>
      </c>
    </row>
    <row r="72" spans="1:9" x14ac:dyDescent="0.2">
      <c r="A72" s="1" t="s">
        <v>646</v>
      </c>
      <c r="B72" s="1">
        <f>B69+B70</f>
        <v>2500</v>
      </c>
      <c r="C72" s="1">
        <f>C69+C70</f>
        <v>2700</v>
      </c>
      <c r="D72" s="1"/>
      <c r="E72" s="1"/>
    </row>
    <row r="73" spans="1:9" ht="16" thickBot="1" x14ac:dyDescent="0.25">
      <c r="A73" s="1" t="s">
        <v>450</v>
      </c>
      <c r="B73" s="1">
        <f>B68+B71</f>
        <v>2500</v>
      </c>
      <c r="C73" s="1">
        <f>C68+C71</f>
        <v>2700</v>
      </c>
      <c r="D73" s="1"/>
      <c r="E73" s="1"/>
    </row>
    <row r="74" spans="1:9" ht="79" customHeight="1" thickBot="1" x14ac:dyDescent="0.25">
      <c r="A74" s="1" t="s">
        <v>753</v>
      </c>
      <c r="B74" s="1">
        <f>B68-B69</f>
        <v>260</v>
      </c>
      <c r="C74" s="1">
        <f>C68-C69</f>
        <v>600</v>
      </c>
      <c r="D74" s="1">
        <f>C74-B74</f>
        <v>340</v>
      </c>
      <c r="E74" s="44">
        <f>D74/B74</f>
        <v>1.3076923076923077</v>
      </c>
      <c r="F74" s="41" t="s">
        <v>700</v>
      </c>
      <c r="G74" s="352" t="s">
        <v>701</v>
      </c>
    </row>
    <row r="75" spans="1:9" ht="58" customHeight="1" thickBot="1" x14ac:dyDescent="0.25">
      <c r="A75" s="7" t="s">
        <v>648</v>
      </c>
      <c r="B75" s="44">
        <f>B74/B70</f>
        <v>0.24528301886792453</v>
      </c>
      <c r="C75" s="44">
        <f>C74/C70</f>
        <v>0.46153846153846156</v>
      </c>
      <c r="D75" s="44">
        <f>C75-B75</f>
        <v>0.21625544267053703</v>
      </c>
      <c r="E75" s="1"/>
      <c r="F75" s="268" t="s">
        <v>754</v>
      </c>
      <c r="G75" s="352" t="s">
        <v>755</v>
      </c>
    </row>
    <row r="77" spans="1:9" ht="24" customHeight="1" thickBot="1" x14ac:dyDescent="0.25">
      <c r="A77" s="271" t="s">
        <v>756</v>
      </c>
      <c r="B77" s="272"/>
      <c r="C77" s="272"/>
      <c r="D77" s="272"/>
      <c r="E77" s="272"/>
      <c r="F77" s="272"/>
      <c r="G77" s="272"/>
    </row>
    <row r="78" spans="1:9" ht="27" thickBot="1" x14ac:dyDescent="0.25">
      <c r="A78" s="41" t="s">
        <v>91</v>
      </c>
      <c r="B78" s="225" t="s">
        <v>92</v>
      </c>
    </row>
    <row r="79" spans="1:9" ht="27" thickBot="1" x14ac:dyDescent="0.25">
      <c r="A79" s="224" t="s">
        <v>93</v>
      </c>
      <c r="B79" s="95">
        <v>1500</v>
      </c>
    </row>
    <row r="80" spans="1:9" ht="16" thickBot="1" x14ac:dyDescent="0.25">
      <c r="A80" s="224" t="s">
        <v>94</v>
      </c>
      <c r="B80" s="95">
        <v>1090</v>
      </c>
    </row>
    <row r="81" spans="1:5" ht="16" thickBot="1" x14ac:dyDescent="0.25">
      <c r="A81" s="224" t="s">
        <v>95</v>
      </c>
      <c r="B81" s="95">
        <v>205</v>
      </c>
    </row>
    <row r="82" spans="1:5" ht="16" thickBot="1" x14ac:dyDescent="0.25">
      <c r="A82" s="224" t="s">
        <v>96</v>
      </c>
      <c r="B82" s="95">
        <v>2150</v>
      </c>
    </row>
    <row r="83" spans="1:5" ht="16" thickBot="1" x14ac:dyDescent="0.25">
      <c r="A83" s="224" t="s">
        <v>97</v>
      </c>
      <c r="B83" s="95">
        <v>100</v>
      </c>
    </row>
    <row r="84" spans="1:5" ht="16" thickBot="1" x14ac:dyDescent="0.25">
      <c r="A84" s="224" t="s">
        <v>98</v>
      </c>
      <c r="B84" s="95">
        <v>320</v>
      </c>
    </row>
    <row r="85" spans="1:5" ht="27" thickBot="1" x14ac:dyDescent="0.25">
      <c r="A85" s="193" t="s">
        <v>91</v>
      </c>
      <c r="B85" s="223" t="s">
        <v>316</v>
      </c>
    </row>
    <row r="86" spans="1:5" ht="16" thickBot="1" x14ac:dyDescent="0.25">
      <c r="A86" s="226" t="s">
        <v>99</v>
      </c>
      <c r="B86" s="48"/>
    </row>
    <row r="87" spans="1:5" ht="27" thickBot="1" x14ac:dyDescent="0.25">
      <c r="A87" s="226" t="s">
        <v>100</v>
      </c>
      <c r="B87" s="48"/>
    </row>
    <row r="88" spans="1:5" ht="16" thickBot="1" x14ac:dyDescent="0.25">
      <c r="A88" s="226" t="s">
        <v>101</v>
      </c>
      <c r="B88" s="48"/>
    </row>
    <row r="89" spans="1:5" ht="27" thickBot="1" x14ac:dyDescent="0.25">
      <c r="A89" s="226" t="s">
        <v>102</v>
      </c>
      <c r="B89" s="48"/>
      <c r="D89" s="45" t="s">
        <v>106</v>
      </c>
      <c r="E89" s="49" t="s">
        <v>107</v>
      </c>
    </row>
    <row r="90" spans="1:5" ht="40" thickBot="1" x14ac:dyDescent="0.25">
      <c r="A90" s="226" t="s">
        <v>103</v>
      </c>
      <c r="B90" s="48"/>
      <c r="D90" s="226" t="s">
        <v>108</v>
      </c>
      <c r="E90" s="50" t="s">
        <v>109</v>
      </c>
    </row>
    <row r="91" spans="1:5" ht="16" thickBot="1" x14ac:dyDescent="0.25">
      <c r="A91" s="226" t="s">
        <v>104</v>
      </c>
      <c r="B91" s="48"/>
      <c r="D91" s="226" t="s">
        <v>110</v>
      </c>
      <c r="E91" s="50" t="s">
        <v>111</v>
      </c>
    </row>
    <row r="92" spans="1:5" ht="16" thickBot="1" x14ac:dyDescent="0.25">
      <c r="A92" s="226" t="s">
        <v>105</v>
      </c>
      <c r="B92" s="48"/>
      <c r="D92" s="226" t="s">
        <v>112</v>
      </c>
      <c r="E92" s="50" t="s">
        <v>113</v>
      </c>
    </row>
    <row r="93" spans="1:5" ht="27" thickBot="1" x14ac:dyDescent="0.25">
      <c r="D93" s="226" t="s">
        <v>114</v>
      </c>
      <c r="E93" s="50" t="s">
        <v>115</v>
      </c>
    </row>
  </sheetData>
  <mergeCells count="9">
    <mergeCell ref="A52:H52"/>
    <mergeCell ref="A66:I66"/>
    <mergeCell ref="A77:G77"/>
    <mergeCell ref="A9:H9"/>
    <mergeCell ref="A10:A11"/>
    <mergeCell ref="B10:C10"/>
    <mergeCell ref="A27:H27"/>
    <mergeCell ref="A29:A30"/>
    <mergeCell ref="B29:C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cols>
    <col min="1" max="1" width="37.164062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09"/>
  <sheetViews>
    <sheetView topLeftCell="A187" zoomScale="160" zoomScaleNormal="160" zoomScalePageLayoutView="160" workbookViewId="0">
      <selection activeCell="H205" sqref="H205"/>
    </sheetView>
  </sheetViews>
  <sheetFormatPr baseColWidth="10" defaultRowHeight="15" x14ac:dyDescent="0.2"/>
  <cols>
    <col min="1" max="1" width="33.6640625" customWidth="1"/>
    <col min="2" max="2" width="14.33203125" bestFit="1" customWidth="1"/>
    <col min="3" max="3" width="17.83203125" customWidth="1"/>
    <col min="4" max="4" width="20" customWidth="1"/>
    <col min="5" max="5" width="19" customWidth="1"/>
  </cols>
  <sheetData>
    <row r="2" spans="1:6" ht="16" thickBot="1" x14ac:dyDescent="0.25">
      <c r="A2" s="158" t="s">
        <v>427</v>
      </c>
    </row>
    <row r="3" spans="1:6" ht="16" thickBot="1" x14ac:dyDescent="0.25">
      <c r="A3" s="159" t="s">
        <v>358</v>
      </c>
      <c r="B3" s="160" t="s">
        <v>428</v>
      </c>
    </row>
    <row r="4" spans="1:6" ht="16" thickBot="1" x14ac:dyDescent="0.25">
      <c r="A4" s="161" t="s">
        <v>429</v>
      </c>
      <c r="B4" s="162" t="s">
        <v>430</v>
      </c>
    </row>
    <row r="5" spans="1:6" ht="16" thickBot="1" x14ac:dyDescent="0.25">
      <c r="A5" s="161" t="s">
        <v>431</v>
      </c>
      <c r="B5" s="162" t="s">
        <v>432</v>
      </c>
    </row>
    <row r="6" spans="1:6" ht="29" thickBot="1" x14ac:dyDescent="0.25">
      <c r="A6" s="161" t="s">
        <v>433</v>
      </c>
      <c r="B6" s="162" t="s">
        <v>434</v>
      </c>
    </row>
    <row r="7" spans="1:6" ht="16" thickBot="1" x14ac:dyDescent="0.25">
      <c r="A7" s="161" t="s">
        <v>435</v>
      </c>
      <c r="B7" s="164"/>
    </row>
    <row r="8" spans="1:6" ht="16" thickBot="1" x14ac:dyDescent="0.25">
      <c r="A8" s="165" t="s">
        <v>436</v>
      </c>
      <c r="B8" s="162" t="s">
        <v>437</v>
      </c>
    </row>
    <row r="9" spans="1:6" ht="16" thickBot="1" x14ac:dyDescent="0.25">
      <c r="A9" s="165" t="s">
        <v>180</v>
      </c>
      <c r="B9" s="166" t="s">
        <v>438</v>
      </c>
    </row>
    <row r="10" spans="1:6" ht="28" x14ac:dyDescent="0.2">
      <c r="A10" s="167" t="s">
        <v>439</v>
      </c>
      <c r="B10" s="305"/>
    </row>
    <row r="11" spans="1:6" ht="49" customHeight="1" thickBot="1" x14ac:dyDescent="0.25">
      <c r="A11" s="168" t="s">
        <v>440</v>
      </c>
      <c r="B11" s="306"/>
    </row>
    <row r="13" spans="1:6" x14ac:dyDescent="0.2">
      <c r="A13" s="1" t="s">
        <v>0</v>
      </c>
      <c r="B13" s="1" t="s">
        <v>441</v>
      </c>
      <c r="C13" s="1" t="s">
        <v>443</v>
      </c>
      <c r="D13" s="1" t="s">
        <v>444</v>
      </c>
      <c r="E13" s="1" t="s">
        <v>442</v>
      </c>
      <c r="F13" s="15" t="s">
        <v>445</v>
      </c>
    </row>
    <row r="14" spans="1:6" x14ac:dyDescent="0.2">
      <c r="A14" s="171" t="s">
        <v>429</v>
      </c>
      <c r="B14" s="1">
        <v>200000</v>
      </c>
      <c r="C14" s="105">
        <f>B14/B$20</f>
        <v>0.20618556701030927</v>
      </c>
      <c r="D14" s="44">
        <f>F14/B14</f>
        <v>0.105</v>
      </c>
      <c r="E14" s="44">
        <f>C14*D14</f>
        <v>2.1649484536082474E-2</v>
      </c>
      <c r="F14" s="1">
        <v>21000</v>
      </c>
    </row>
    <row r="15" spans="1:6" x14ac:dyDescent="0.2">
      <c r="A15" s="171" t="s">
        <v>431</v>
      </c>
      <c r="B15" s="1">
        <v>600000</v>
      </c>
      <c r="C15" s="105">
        <f t="shared" ref="C15:C18" si="0">B15/B$20</f>
        <v>0.61855670103092786</v>
      </c>
      <c r="D15" s="44">
        <f>F15/B15</f>
        <v>0.13333333333333333</v>
      </c>
      <c r="E15" s="44">
        <f t="shared" ref="E15:E18" si="1">C15*D15</f>
        <v>8.247422680412371E-2</v>
      </c>
      <c r="F15" s="1">
        <v>80000</v>
      </c>
    </row>
    <row r="16" spans="1:6" x14ac:dyDescent="0.2">
      <c r="A16" s="1" t="s">
        <v>446</v>
      </c>
      <c r="B16" s="1">
        <f>B14+B15</f>
        <v>800000</v>
      </c>
      <c r="C16" s="105"/>
      <c r="D16" s="1"/>
      <c r="E16" s="44"/>
      <c r="F16" s="1"/>
    </row>
    <row r="17" spans="1:10" x14ac:dyDescent="0.2">
      <c r="A17" s="1" t="s">
        <v>447</v>
      </c>
      <c r="B17" s="1">
        <v>100000</v>
      </c>
      <c r="C17" s="105">
        <f t="shared" si="0"/>
        <v>0.10309278350515463</v>
      </c>
      <c r="D17" s="174">
        <f>0.12</f>
        <v>0.12</v>
      </c>
      <c r="E17" s="44">
        <f t="shared" si="1"/>
        <v>1.2371134020618556E-2</v>
      </c>
      <c r="F17" s="1">
        <f>0.12*B17</f>
        <v>12000</v>
      </c>
    </row>
    <row r="18" spans="1:10" x14ac:dyDescent="0.2">
      <c r="A18" s="1" t="s">
        <v>448</v>
      </c>
      <c r="B18" s="1">
        <v>70000</v>
      </c>
      <c r="C18" s="105">
        <f t="shared" si="0"/>
        <v>7.2164948453608241E-2</v>
      </c>
      <c r="D18" s="1">
        <v>0</v>
      </c>
      <c r="E18" s="44">
        <f t="shared" si="1"/>
        <v>0</v>
      </c>
      <c r="F18" s="1"/>
    </row>
    <row r="19" spans="1:10" x14ac:dyDescent="0.2">
      <c r="A19" s="15" t="s">
        <v>449</v>
      </c>
      <c r="B19" s="1">
        <f>B18+B17</f>
        <v>170000</v>
      </c>
      <c r="C19" s="105"/>
      <c r="D19" s="1"/>
      <c r="E19" s="1"/>
      <c r="F19" s="1"/>
    </row>
    <row r="20" spans="1:10" x14ac:dyDescent="0.2">
      <c r="A20" s="15" t="s">
        <v>450</v>
      </c>
      <c r="B20" s="1">
        <f>B16+B19</f>
        <v>970000</v>
      </c>
      <c r="C20" s="105">
        <f>SUM(C14:C19)</f>
        <v>0.99999999999999989</v>
      </c>
      <c r="D20" s="1"/>
      <c r="E20" s="1"/>
      <c r="F20" s="1"/>
    </row>
    <row r="21" spans="1:10" x14ac:dyDescent="0.2">
      <c r="A21" s="115"/>
      <c r="E21" s="175">
        <f>SUM(E14:E20)</f>
        <v>0.11649484536082473</v>
      </c>
      <c r="F21" t="s">
        <v>453</v>
      </c>
    </row>
    <row r="22" spans="1:10" x14ac:dyDescent="0.2">
      <c r="A22" s="173" t="s">
        <v>452</v>
      </c>
      <c r="E22" s="176">
        <f>(F14+F15)/B16</f>
        <v>0.12625</v>
      </c>
      <c r="F22" t="s">
        <v>454</v>
      </c>
    </row>
    <row r="23" spans="1:10" x14ac:dyDescent="0.2">
      <c r="A23" s="173" t="s">
        <v>451</v>
      </c>
      <c r="E23" s="176">
        <f>(F17+F18)/B19</f>
        <v>7.0588235294117646E-2</v>
      </c>
      <c r="F23" t="s">
        <v>455</v>
      </c>
    </row>
    <row r="27" spans="1:10" ht="33" customHeight="1" x14ac:dyDescent="0.2">
      <c r="A27" s="307" t="s">
        <v>457</v>
      </c>
      <c r="B27" s="272"/>
      <c r="C27" s="272"/>
      <c r="D27" s="272"/>
      <c r="E27" s="272"/>
      <c r="F27" s="272"/>
      <c r="G27" s="272"/>
      <c r="H27" s="272"/>
      <c r="I27" s="272"/>
      <c r="J27" s="272"/>
    </row>
    <row r="28" spans="1:10" x14ac:dyDescent="0.2">
      <c r="A28" s="163" t="s">
        <v>456</v>
      </c>
    </row>
    <row r="29" spans="1:10" x14ac:dyDescent="0.2">
      <c r="A29" s="163" t="s">
        <v>462</v>
      </c>
    </row>
    <row r="30" spans="1:10" x14ac:dyDescent="0.2">
      <c r="A30" s="1" t="s">
        <v>0</v>
      </c>
      <c r="B30" s="1" t="s">
        <v>458</v>
      </c>
      <c r="C30" s="1" t="s">
        <v>459</v>
      </c>
      <c r="D30" s="1" t="s">
        <v>460</v>
      </c>
    </row>
    <row r="31" spans="1:10" x14ac:dyDescent="0.2">
      <c r="A31" s="1" t="s">
        <v>461</v>
      </c>
      <c r="B31" s="1">
        <v>1000</v>
      </c>
      <c r="C31" s="1">
        <f>B31*1.2</f>
        <v>1200</v>
      </c>
      <c r="D31" s="1">
        <f>C31-B31</f>
        <v>200</v>
      </c>
    </row>
    <row r="32" spans="1:10" x14ac:dyDescent="0.2">
      <c r="A32" s="1" t="s">
        <v>463</v>
      </c>
      <c r="B32" s="1">
        <v>5000</v>
      </c>
      <c r="C32" s="1">
        <f>B32+D32</f>
        <v>5200</v>
      </c>
      <c r="D32" s="1">
        <v>200</v>
      </c>
    </row>
    <row r="33" spans="1:4" x14ac:dyDescent="0.2">
      <c r="A33" s="1" t="s">
        <v>179</v>
      </c>
      <c r="B33" s="177">
        <f>(B31*B32)*12</f>
        <v>60000000</v>
      </c>
      <c r="C33" s="177">
        <f>(C31*C32)*12</f>
        <v>74880000</v>
      </c>
      <c r="D33" s="177">
        <f>C33-B33</f>
        <v>14880000</v>
      </c>
    </row>
    <row r="34" spans="1:4" x14ac:dyDescent="0.2">
      <c r="A34" s="178" t="s">
        <v>464</v>
      </c>
      <c r="B34" s="1"/>
      <c r="C34" s="1"/>
      <c r="D34" s="179">
        <f>B33*0.2</f>
        <v>12000000</v>
      </c>
    </row>
    <row r="35" spans="1:4" x14ac:dyDescent="0.2">
      <c r="A35" s="178" t="s">
        <v>465</v>
      </c>
      <c r="B35" s="1"/>
      <c r="C35" s="1"/>
      <c r="D35" s="179">
        <f>D33-D34</f>
        <v>2880000</v>
      </c>
    </row>
    <row r="36" spans="1:4" x14ac:dyDescent="0.2">
      <c r="A36" s="1" t="s">
        <v>466</v>
      </c>
      <c r="B36" s="179">
        <f>B33*20/120</f>
        <v>10000000</v>
      </c>
      <c r="C36" s="179">
        <f>C33*20/120</f>
        <v>12480000</v>
      </c>
      <c r="D36" s="181">
        <f>C36-B36</f>
        <v>2480000</v>
      </c>
    </row>
    <row r="37" spans="1:4" x14ac:dyDescent="0.2">
      <c r="A37" s="178" t="s">
        <v>467</v>
      </c>
      <c r="B37" s="1"/>
      <c r="C37" s="1"/>
      <c r="D37" s="179">
        <f>D34*20/120</f>
        <v>2000000</v>
      </c>
    </row>
    <row r="38" spans="1:4" x14ac:dyDescent="0.2">
      <c r="A38" s="178" t="s">
        <v>468</v>
      </c>
      <c r="B38" s="1"/>
      <c r="C38" s="1"/>
      <c r="D38" s="179">
        <f>D35*20/120</f>
        <v>480000</v>
      </c>
    </row>
    <row r="39" spans="1:4" x14ac:dyDescent="0.2">
      <c r="D39" s="180">
        <f>D37+D38</f>
        <v>2480000</v>
      </c>
    </row>
    <row r="40" spans="1:4" x14ac:dyDescent="0.2">
      <c r="A40" s="158" t="s">
        <v>469</v>
      </c>
    </row>
    <row r="41" spans="1:4" x14ac:dyDescent="0.2">
      <c r="A41" s="171"/>
      <c r="B41" s="187" t="s">
        <v>471</v>
      </c>
      <c r="C41" s="187" t="s">
        <v>470</v>
      </c>
      <c r="D41" s="187" t="s">
        <v>460</v>
      </c>
    </row>
    <row r="42" spans="1:4" x14ac:dyDescent="0.2">
      <c r="A42" s="171" t="s">
        <v>473</v>
      </c>
      <c r="B42" s="188">
        <v>7.0000000000000007E-2</v>
      </c>
      <c r="C42" s="187"/>
      <c r="D42" s="1"/>
    </row>
    <row r="43" spans="1:4" x14ac:dyDescent="0.2">
      <c r="A43" s="171" t="s">
        <v>472</v>
      </c>
      <c r="B43" s="187">
        <v>650</v>
      </c>
      <c r="C43" s="187">
        <v>900</v>
      </c>
      <c r="D43" s="1">
        <f>C43-B43</f>
        <v>250</v>
      </c>
    </row>
    <row r="44" spans="1:4" x14ac:dyDescent="0.2">
      <c r="A44" s="178" t="s">
        <v>464</v>
      </c>
      <c r="B44" s="1"/>
      <c r="C44" s="1"/>
      <c r="D44" s="179">
        <f>B43*0.07</f>
        <v>45.500000000000007</v>
      </c>
    </row>
    <row r="45" spans="1:4" x14ac:dyDescent="0.2">
      <c r="A45" s="178" t="s">
        <v>476</v>
      </c>
      <c r="B45" s="1"/>
      <c r="C45" s="1"/>
      <c r="D45" s="179">
        <f>D43-D44</f>
        <v>204.5</v>
      </c>
    </row>
    <row r="46" spans="1:4" x14ac:dyDescent="0.2">
      <c r="A46" s="1" t="s">
        <v>466</v>
      </c>
      <c r="B46" s="179">
        <f>B43*20/120</f>
        <v>108.33333333333333</v>
      </c>
      <c r="C46" s="179">
        <f>C43*20/120</f>
        <v>150</v>
      </c>
      <c r="D46" s="181">
        <f>C46-B46</f>
        <v>41.666666666666671</v>
      </c>
    </row>
    <row r="47" spans="1:4" x14ac:dyDescent="0.2">
      <c r="A47" s="178" t="s">
        <v>467</v>
      </c>
      <c r="B47" s="1"/>
      <c r="C47" s="1"/>
      <c r="D47" s="179">
        <f>D44*20/120</f>
        <v>7.5833333333333339</v>
      </c>
    </row>
    <row r="48" spans="1:4" x14ac:dyDescent="0.2">
      <c r="A48" s="178" t="s">
        <v>475</v>
      </c>
      <c r="B48" s="1"/>
      <c r="C48" s="1"/>
      <c r="D48" s="179">
        <f>D45*20/120</f>
        <v>34.083333333333336</v>
      </c>
    </row>
    <row r="49" spans="1:5" x14ac:dyDescent="0.2">
      <c r="D49" s="180">
        <f>D47+D48</f>
        <v>41.666666666666671</v>
      </c>
    </row>
    <row r="50" spans="1:5" x14ac:dyDescent="0.2">
      <c r="A50" s="189" t="s">
        <v>477</v>
      </c>
    </row>
    <row r="51" spans="1:5" x14ac:dyDescent="0.2">
      <c r="A51" s="190" t="s">
        <v>478</v>
      </c>
    </row>
    <row r="52" spans="1:5" x14ac:dyDescent="0.2">
      <c r="A52" s="191" t="s">
        <v>479</v>
      </c>
    </row>
    <row r="53" spans="1:5" x14ac:dyDescent="0.2">
      <c r="A53" s="191" t="s">
        <v>480</v>
      </c>
    </row>
    <row r="54" spans="1:5" x14ac:dyDescent="0.2">
      <c r="A54" s="191" t="s">
        <v>481</v>
      </c>
    </row>
    <row r="55" spans="1:5" x14ac:dyDescent="0.2">
      <c r="A55" s="192" t="s">
        <v>482</v>
      </c>
    </row>
    <row r="56" spans="1:5" ht="16" thickBot="1" x14ac:dyDescent="0.25"/>
    <row r="57" spans="1:5" ht="27" thickBot="1" x14ac:dyDescent="0.25">
      <c r="A57" s="193" t="s">
        <v>91</v>
      </c>
      <c r="B57" s="97" t="s">
        <v>316</v>
      </c>
    </row>
    <row r="58" spans="1:5" ht="16" thickBot="1" x14ac:dyDescent="0.25">
      <c r="A58" s="133" t="s">
        <v>99</v>
      </c>
      <c r="B58" s="48">
        <v>11500</v>
      </c>
    </row>
    <row r="59" spans="1:5" ht="27" thickBot="1" x14ac:dyDescent="0.25">
      <c r="A59" s="133" t="s">
        <v>100</v>
      </c>
      <c r="B59" s="48"/>
    </row>
    <row r="60" spans="1:5" ht="16" thickBot="1" x14ac:dyDescent="0.25">
      <c r="A60" s="133" t="s">
        <v>101</v>
      </c>
      <c r="B60" s="48">
        <v>10000</v>
      </c>
    </row>
    <row r="61" spans="1:5" ht="27" thickBot="1" x14ac:dyDescent="0.25">
      <c r="A61" s="133" t="s">
        <v>102</v>
      </c>
      <c r="B61" s="48">
        <f>B60+2000</f>
        <v>12000</v>
      </c>
      <c r="C61" t="s">
        <v>483</v>
      </c>
      <c r="D61" s="45" t="s">
        <v>106</v>
      </c>
      <c r="E61" s="49" t="s">
        <v>107</v>
      </c>
    </row>
    <row r="62" spans="1:5" ht="40" thickBot="1" x14ac:dyDescent="0.25">
      <c r="A62" s="133" t="s">
        <v>103</v>
      </c>
      <c r="B62" s="48"/>
      <c r="C62">
        <v>0</v>
      </c>
      <c r="D62" s="133" t="s">
        <v>108</v>
      </c>
      <c r="E62" s="51" t="s">
        <v>109</v>
      </c>
    </row>
    <row r="63" spans="1:5" ht="40" thickBot="1" x14ac:dyDescent="0.25">
      <c r="A63" s="133" t="s">
        <v>104</v>
      </c>
      <c r="B63" s="48">
        <f>B60-B58</f>
        <v>-1500</v>
      </c>
      <c r="C63">
        <v>0</v>
      </c>
      <c r="D63" s="133" t="s">
        <v>110</v>
      </c>
      <c r="E63" s="51" t="s">
        <v>111</v>
      </c>
    </row>
    <row r="64" spans="1:5" ht="40" thickBot="1" x14ac:dyDescent="0.25">
      <c r="A64" s="133" t="s">
        <v>105</v>
      </c>
      <c r="B64" s="48">
        <f>B61-B58</f>
        <v>500</v>
      </c>
      <c r="C64">
        <v>1</v>
      </c>
      <c r="D64" s="133" t="s">
        <v>112</v>
      </c>
      <c r="E64" s="50" t="s">
        <v>113</v>
      </c>
    </row>
    <row r="65" spans="1:7" ht="40" thickBot="1" x14ac:dyDescent="0.25">
      <c r="C65" t="s">
        <v>484</v>
      </c>
      <c r="D65" s="133" t="s">
        <v>114</v>
      </c>
      <c r="E65" s="50" t="s">
        <v>115</v>
      </c>
    </row>
    <row r="66" spans="1:7" x14ac:dyDescent="0.2">
      <c r="A66" s="172" t="s">
        <v>485</v>
      </c>
      <c r="B66" s="194">
        <f>B60/B58</f>
        <v>0.86956521739130432</v>
      </c>
    </row>
    <row r="67" spans="1:7" ht="37" customHeight="1" thickBot="1" x14ac:dyDescent="0.25">
      <c r="A67" s="307" t="s">
        <v>486</v>
      </c>
      <c r="B67" s="272"/>
      <c r="C67" s="272"/>
      <c r="D67" s="272"/>
      <c r="E67" s="272"/>
      <c r="F67" s="272"/>
    </row>
    <row r="68" spans="1:7" x14ac:dyDescent="0.2">
      <c r="A68" s="186" t="s">
        <v>0</v>
      </c>
      <c r="B68" s="195" t="s">
        <v>487</v>
      </c>
      <c r="C68" s="196" t="s">
        <v>488</v>
      </c>
    </row>
    <row r="69" spans="1:7" x14ac:dyDescent="0.2">
      <c r="A69" s="171" t="s">
        <v>489</v>
      </c>
      <c r="B69" s="197">
        <v>1500000</v>
      </c>
      <c r="C69" s="197">
        <f>B69</f>
        <v>1500000</v>
      </c>
    </row>
    <row r="70" spans="1:7" ht="28" x14ac:dyDescent="0.2">
      <c r="A70" s="171" t="s">
        <v>491</v>
      </c>
      <c r="B70" s="188">
        <v>0.05</v>
      </c>
      <c r="C70" s="188">
        <v>7.0000000000000007E-2</v>
      </c>
    </row>
    <row r="71" spans="1:7" ht="28" x14ac:dyDescent="0.2">
      <c r="A71" s="171" t="s">
        <v>492</v>
      </c>
      <c r="B71" s="199">
        <f>B69*(1-B70)</f>
        <v>1425000</v>
      </c>
      <c r="C71" s="199">
        <f>C69*(1-C70)</f>
        <v>1395000</v>
      </c>
    </row>
    <row r="72" spans="1:7" ht="28" x14ac:dyDescent="0.2">
      <c r="A72" s="171" t="s">
        <v>490</v>
      </c>
      <c r="B72" s="198">
        <v>30000</v>
      </c>
      <c r="C72" s="198">
        <v>58000</v>
      </c>
    </row>
    <row r="73" spans="1:7" x14ac:dyDescent="0.2">
      <c r="A73" s="1"/>
      <c r="B73" s="179">
        <f>B69-B71-B72</f>
        <v>45000</v>
      </c>
      <c r="C73" s="179">
        <f>C69-C71-C72</f>
        <v>47000</v>
      </c>
    </row>
    <row r="74" spans="1:7" x14ac:dyDescent="0.2">
      <c r="A74" s="1"/>
      <c r="B74" s="1"/>
      <c r="C74" s="1"/>
    </row>
    <row r="76" spans="1:7" x14ac:dyDescent="0.2">
      <c r="B76" s="176">
        <f>B73/B72</f>
        <v>1.5</v>
      </c>
      <c r="C76" s="176">
        <f>C73/C72</f>
        <v>0.81034482758620685</v>
      </c>
    </row>
    <row r="78" spans="1:7" ht="26" customHeight="1" x14ac:dyDescent="0.2">
      <c r="A78" s="307" t="s">
        <v>493</v>
      </c>
      <c r="B78" s="272"/>
      <c r="C78" s="272"/>
      <c r="D78" s="272"/>
      <c r="E78" s="272"/>
      <c r="F78" s="272"/>
      <c r="G78" s="272"/>
    </row>
    <row r="79" spans="1:7" x14ac:dyDescent="0.2">
      <c r="A79" s="192" t="s">
        <v>347</v>
      </c>
    </row>
    <row r="80" spans="1:7" x14ac:dyDescent="0.2">
      <c r="A80" s="1" t="s">
        <v>0</v>
      </c>
      <c r="B80" s="1" t="s">
        <v>348</v>
      </c>
      <c r="C80" s="1" t="s">
        <v>349</v>
      </c>
    </row>
    <row r="81" spans="1:3" x14ac:dyDescent="0.2">
      <c r="A81" s="1" t="s">
        <v>350</v>
      </c>
      <c r="B81" s="1">
        <v>194000</v>
      </c>
      <c r="C81" s="1">
        <f>B81</f>
        <v>194000</v>
      </c>
    </row>
    <row r="82" spans="1:3" x14ac:dyDescent="0.2">
      <c r="A82" s="1" t="s">
        <v>351</v>
      </c>
      <c r="B82" s="1">
        <v>182000</v>
      </c>
      <c r="C82" s="1">
        <v>170000</v>
      </c>
    </row>
    <row r="83" spans="1:3" x14ac:dyDescent="0.2">
      <c r="A83" s="1" t="s">
        <v>352</v>
      </c>
      <c r="B83" s="1">
        <v>0.12</v>
      </c>
      <c r="C83" s="1">
        <v>0.36</v>
      </c>
    </row>
    <row r="84" spans="1:3" x14ac:dyDescent="0.2">
      <c r="A84" s="1" t="s">
        <v>353</v>
      </c>
      <c r="B84" s="1">
        <f>1-B83</f>
        <v>0.88</v>
      </c>
      <c r="C84" s="1">
        <f>1-C83</f>
        <v>0.64</v>
      </c>
    </row>
    <row r="85" spans="1:3" x14ac:dyDescent="0.2">
      <c r="A85" s="1" t="s">
        <v>494</v>
      </c>
      <c r="B85" s="200">
        <f>(B81-B82)*B84</f>
        <v>10560</v>
      </c>
      <c r="C85" s="36">
        <f>(C81-C82)*C84</f>
        <v>15360</v>
      </c>
    </row>
    <row r="86" spans="1:3" x14ac:dyDescent="0.2">
      <c r="A86" s="1"/>
      <c r="B86" s="1"/>
      <c r="C86" s="1"/>
    </row>
    <row r="87" spans="1:3" x14ac:dyDescent="0.2">
      <c r="A87" s="1" t="s">
        <v>355</v>
      </c>
      <c r="B87" s="119">
        <f>(((B81-B82-B85)^2)*B83)^(1/2)</f>
        <v>498.83063257983667</v>
      </c>
      <c r="C87" s="38">
        <f>(((C81-C82-C85)^2)*C83)^(1/2)</f>
        <v>5184</v>
      </c>
    </row>
    <row r="88" spans="1:3" x14ac:dyDescent="0.2">
      <c r="A88" s="1"/>
      <c r="C88" s="1"/>
    </row>
    <row r="89" spans="1:3" x14ac:dyDescent="0.2">
      <c r="A89" s="15" t="s">
        <v>356</v>
      </c>
      <c r="B89" s="201">
        <f>B87/B85</f>
        <v>4.7237749297333022E-2</v>
      </c>
      <c r="C89" s="43">
        <f>C87/C85</f>
        <v>0.33750000000000002</v>
      </c>
    </row>
    <row r="91" spans="1:3" ht="16" thickBot="1" x14ac:dyDescent="0.25">
      <c r="A91" s="158" t="s">
        <v>495</v>
      </c>
    </row>
    <row r="92" spans="1:3" ht="28" x14ac:dyDescent="0.2">
      <c r="A92" s="182" t="s">
        <v>496</v>
      </c>
      <c r="B92" s="305" t="s">
        <v>500</v>
      </c>
      <c r="C92" s="305" t="s">
        <v>409</v>
      </c>
    </row>
    <row r="93" spans="1:3" ht="16" thickBot="1" x14ac:dyDescent="0.25">
      <c r="A93" s="161" t="s">
        <v>497</v>
      </c>
      <c r="B93" s="306"/>
      <c r="C93" s="306"/>
    </row>
    <row r="94" spans="1:3" ht="16" thickBot="1" x14ac:dyDescent="0.25">
      <c r="A94" s="161" t="s">
        <v>382</v>
      </c>
      <c r="B94" s="183">
        <v>78000</v>
      </c>
      <c r="C94" s="183">
        <v>78000</v>
      </c>
    </row>
    <row r="95" spans="1:3" ht="28" x14ac:dyDescent="0.2">
      <c r="A95" s="184" t="s">
        <v>502</v>
      </c>
      <c r="B95" s="185">
        <v>13500</v>
      </c>
      <c r="C95" s="185">
        <v>10500</v>
      </c>
    </row>
    <row r="96" spans="1:3" x14ac:dyDescent="0.2">
      <c r="A96" s="202" t="s">
        <v>498</v>
      </c>
      <c r="B96" s="185">
        <v>3700</v>
      </c>
      <c r="C96" s="185">
        <v>2700</v>
      </c>
    </row>
    <row r="97" spans="1:8" ht="16" thickBot="1" x14ac:dyDescent="0.25">
      <c r="A97" s="165" t="s">
        <v>499</v>
      </c>
      <c r="B97" s="183">
        <v>9800</v>
      </c>
      <c r="C97" s="183">
        <v>7800</v>
      </c>
    </row>
    <row r="98" spans="1:8" ht="28" x14ac:dyDescent="0.2">
      <c r="A98" s="184" t="s">
        <v>501</v>
      </c>
      <c r="B98" s="185">
        <v>24150</v>
      </c>
      <c r="C98" s="185">
        <v>20000</v>
      </c>
    </row>
    <row r="99" spans="1:8" x14ac:dyDescent="0.2">
      <c r="A99" s="202" t="s">
        <v>498</v>
      </c>
      <c r="B99" s="185">
        <v>5800</v>
      </c>
      <c r="C99" s="185">
        <v>4400</v>
      </c>
    </row>
    <row r="100" spans="1:8" ht="16" thickBot="1" x14ac:dyDescent="0.25">
      <c r="A100" s="165" t="s">
        <v>499</v>
      </c>
      <c r="B100" s="183">
        <v>18350</v>
      </c>
      <c r="C100" s="183">
        <v>15600</v>
      </c>
    </row>
    <row r="101" spans="1:8" x14ac:dyDescent="0.2">
      <c r="A101" s="125" t="s">
        <v>388</v>
      </c>
      <c r="B101" s="126">
        <f>B97+B100</f>
        <v>28150</v>
      </c>
      <c r="C101" s="126">
        <f>C97+C100</f>
        <v>23400</v>
      </c>
    </row>
    <row r="102" spans="1:8" x14ac:dyDescent="0.2">
      <c r="A102" s="1" t="s">
        <v>389</v>
      </c>
      <c r="B102" s="1">
        <f>B96+B99</f>
        <v>9500</v>
      </c>
      <c r="C102" s="1">
        <f>C96+C99</f>
        <v>7100</v>
      </c>
    </row>
    <row r="103" spans="1:8" x14ac:dyDescent="0.2">
      <c r="A103" s="1" t="s">
        <v>367</v>
      </c>
      <c r="B103" s="1">
        <f>B94-B101</f>
        <v>49850</v>
      </c>
      <c r="C103" s="204">
        <f>C94-C101</f>
        <v>54600</v>
      </c>
    </row>
    <row r="104" spans="1:8" x14ac:dyDescent="0.2">
      <c r="A104" s="1" t="s">
        <v>368</v>
      </c>
      <c r="B104" s="1">
        <f>B103-B102</f>
        <v>40350</v>
      </c>
      <c r="C104" s="204">
        <f>C103-C102</f>
        <v>47500</v>
      </c>
    </row>
    <row r="105" spans="1:8" x14ac:dyDescent="0.2">
      <c r="A105" s="1" t="s">
        <v>360</v>
      </c>
      <c r="B105" s="44">
        <f>B104/B94</f>
        <v>0.51730769230769236</v>
      </c>
      <c r="C105" s="205">
        <f>C104/C94</f>
        <v>0.60897435897435892</v>
      </c>
    </row>
    <row r="106" spans="1:8" x14ac:dyDescent="0.2">
      <c r="A106" s="1" t="s">
        <v>361</v>
      </c>
      <c r="B106" s="38">
        <f>(B102/B103)*B94</f>
        <v>14864.593781344032</v>
      </c>
      <c r="C106" s="206">
        <f>(C102/C103)*C94</f>
        <v>10142.857142857143</v>
      </c>
    </row>
    <row r="107" spans="1:8" x14ac:dyDescent="0.2">
      <c r="A107" s="1" t="s">
        <v>362</v>
      </c>
      <c r="B107" s="203">
        <f>B94-B106</f>
        <v>63135.406218655968</v>
      </c>
      <c r="C107" s="206">
        <f>C94-C106</f>
        <v>67857.142857142855</v>
      </c>
    </row>
    <row r="108" spans="1:8" x14ac:dyDescent="0.2">
      <c r="A108" s="1" t="s">
        <v>363</v>
      </c>
      <c r="B108" s="44">
        <f>B107/B94</f>
        <v>0.80942828485456364</v>
      </c>
      <c r="C108" s="205">
        <f>C107/C94</f>
        <v>0.86996336996336998</v>
      </c>
    </row>
    <row r="110" spans="1:8" ht="34" customHeight="1" x14ac:dyDescent="0.2">
      <c r="A110" s="307" t="s">
        <v>503</v>
      </c>
      <c r="B110" s="272"/>
      <c r="C110" s="272"/>
      <c r="D110" s="272"/>
      <c r="E110" s="272"/>
      <c r="F110" s="272"/>
      <c r="G110" s="272"/>
    </row>
    <row r="111" spans="1:8" x14ac:dyDescent="0.2">
      <c r="A111" s="192" t="s">
        <v>504</v>
      </c>
    </row>
    <row r="112" spans="1:8" x14ac:dyDescent="0.2">
      <c r="A112" s="1" t="s">
        <v>0</v>
      </c>
      <c r="B112" s="1" t="s">
        <v>458</v>
      </c>
      <c r="C112" s="1" t="s">
        <v>505</v>
      </c>
      <c r="D112" s="1" t="s">
        <v>195</v>
      </c>
      <c r="E112" s="1" t="s">
        <v>506</v>
      </c>
      <c r="F112" s="1" t="s">
        <v>507</v>
      </c>
      <c r="G112" s="1" t="s">
        <v>508</v>
      </c>
      <c r="H112" s="1" t="s">
        <v>509</v>
      </c>
    </row>
    <row r="113" spans="1:8" x14ac:dyDescent="0.2">
      <c r="A113" s="1" t="s">
        <v>510</v>
      </c>
      <c r="B113" s="1">
        <v>475800</v>
      </c>
      <c r="C113" s="1">
        <v>780900</v>
      </c>
      <c r="D113" s="1">
        <f>C113-B113</f>
        <v>305100</v>
      </c>
      <c r="E113" s="44">
        <f>D113/B113</f>
        <v>0.64123581336696089</v>
      </c>
      <c r="F113" s="44">
        <f>B113/B$113</f>
        <v>1</v>
      </c>
      <c r="G113" s="44">
        <f>C113/C$113</f>
        <v>1</v>
      </c>
      <c r="H113" s="122">
        <f>G113-F113</f>
        <v>0</v>
      </c>
    </row>
    <row r="114" spans="1:8" x14ac:dyDescent="0.2">
      <c r="A114" s="1" t="s">
        <v>511</v>
      </c>
      <c r="B114" s="1">
        <v>290800</v>
      </c>
      <c r="C114" s="1">
        <v>310800</v>
      </c>
      <c r="D114" s="1">
        <f t="shared" ref="D114:D115" si="2">C114-B114</f>
        <v>20000</v>
      </c>
      <c r="E114" s="44">
        <f t="shared" ref="E114:E115" si="3">D114/B114</f>
        <v>6.8775790921595595E-2</v>
      </c>
      <c r="F114" s="44">
        <f>B114/B$113</f>
        <v>0.61118116855821769</v>
      </c>
      <c r="G114" s="44">
        <f>C114/C$113</f>
        <v>0.3980023050326546</v>
      </c>
      <c r="H114" s="122">
        <f t="shared" ref="H114:H115" si="4">G114-F114</f>
        <v>-0.21317886352556309</v>
      </c>
    </row>
    <row r="115" spans="1:8" x14ac:dyDescent="0.2">
      <c r="A115" s="1" t="s">
        <v>512</v>
      </c>
      <c r="B115" s="1">
        <f>B113-B114</f>
        <v>185000</v>
      </c>
      <c r="C115" s="1">
        <f>C113-C114</f>
        <v>470100</v>
      </c>
      <c r="D115" s="1">
        <f t="shared" si="2"/>
        <v>285100</v>
      </c>
      <c r="E115" s="44">
        <f t="shared" si="3"/>
        <v>1.5410810810810811</v>
      </c>
      <c r="F115" s="44">
        <f t="shared" ref="F115:G115" si="5">B115/B$113</f>
        <v>0.38881883144178225</v>
      </c>
      <c r="G115" s="44">
        <f t="shared" si="5"/>
        <v>0.60199769496734534</v>
      </c>
      <c r="H115" s="122">
        <f t="shared" si="4"/>
        <v>0.21317886352556309</v>
      </c>
    </row>
    <row r="117" spans="1:8" x14ac:dyDescent="0.2">
      <c r="A117" s="158" t="s">
        <v>513</v>
      </c>
    </row>
    <row r="118" spans="1:8" x14ac:dyDescent="0.2">
      <c r="A118" s="207" t="s">
        <v>514</v>
      </c>
    </row>
    <row r="119" spans="1:8" ht="44" customHeight="1" x14ac:dyDescent="0.2">
      <c r="A119" s="308" t="s">
        <v>515</v>
      </c>
      <c r="B119" s="272"/>
      <c r="C119" s="272"/>
      <c r="D119" s="272"/>
      <c r="E119" s="272"/>
      <c r="F119" s="272"/>
      <c r="G119" s="272"/>
      <c r="H119" s="272"/>
    </row>
    <row r="120" spans="1:8" ht="26" customHeight="1" x14ac:dyDescent="0.2">
      <c r="A120" s="314" t="s">
        <v>516</v>
      </c>
      <c r="B120" s="198" t="s">
        <v>517</v>
      </c>
      <c r="C120" s="1" t="s">
        <v>526</v>
      </c>
      <c r="D120" s="1" t="s">
        <v>529</v>
      </c>
    </row>
    <row r="121" spans="1:8" x14ac:dyDescent="0.2">
      <c r="A121" s="314"/>
      <c r="B121" s="198" t="s">
        <v>518</v>
      </c>
      <c r="C121" s="1"/>
      <c r="D121" s="1"/>
    </row>
    <row r="122" spans="1:8" x14ac:dyDescent="0.2">
      <c r="A122" s="171" t="s">
        <v>519</v>
      </c>
      <c r="B122" s="171">
        <v>3600</v>
      </c>
      <c r="C122" s="1">
        <f>B122</f>
        <v>3600</v>
      </c>
      <c r="D122" s="1">
        <f>C122-B122</f>
        <v>0</v>
      </c>
    </row>
    <row r="123" spans="1:8" x14ac:dyDescent="0.2">
      <c r="A123" s="171" t="s">
        <v>124</v>
      </c>
      <c r="B123" s="171">
        <v>680</v>
      </c>
      <c r="C123" s="1">
        <f>B123-500</f>
        <v>180</v>
      </c>
      <c r="D123" s="1">
        <f t="shared" ref="D123:D133" si="6">C123-B123</f>
        <v>-500</v>
      </c>
    </row>
    <row r="124" spans="1:8" x14ac:dyDescent="0.2">
      <c r="A124" s="171" t="s">
        <v>520</v>
      </c>
      <c r="B124" s="171">
        <v>90</v>
      </c>
      <c r="C124" s="1">
        <f>B124+600</f>
        <v>690</v>
      </c>
      <c r="D124" s="1">
        <f t="shared" si="6"/>
        <v>600</v>
      </c>
    </row>
    <row r="125" spans="1:8" x14ac:dyDescent="0.2">
      <c r="A125" s="171" t="s">
        <v>524</v>
      </c>
      <c r="B125" s="171">
        <v>60</v>
      </c>
      <c r="C125" s="1">
        <f>B125</f>
        <v>60</v>
      </c>
      <c r="D125" s="1">
        <f t="shared" si="6"/>
        <v>0</v>
      </c>
    </row>
    <row r="126" spans="1:8" x14ac:dyDescent="0.2">
      <c r="A126" s="208" t="s">
        <v>521</v>
      </c>
      <c r="B126" s="171">
        <v>4430</v>
      </c>
      <c r="C126" s="1">
        <f>C122+C123+C124+C125</f>
        <v>4530</v>
      </c>
      <c r="D126" s="1">
        <f t="shared" si="6"/>
        <v>100</v>
      </c>
    </row>
    <row r="127" spans="1:8" ht="24" customHeight="1" x14ac:dyDescent="0.2">
      <c r="A127" s="209"/>
      <c r="B127" s="209" t="s">
        <v>518</v>
      </c>
      <c r="C127" s="1"/>
      <c r="D127" s="1"/>
    </row>
    <row r="128" spans="1:8" x14ac:dyDescent="0.2">
      <c r="A128" s="210" t="s">
        <v>228</v>
      </c>
      <c r="B128" s="171">
        <v>3160</v>
      </c>
      <c r="C128" s="1">
        <f>B128</f>
        <v>3160</v>
      </c>
      <c r="D128" s="1">
        <f t="shared" si="6"/>
        <v>0</v>
      </c>
    </row>
    <row r="129" spans="1:7" x14ac:dyDescent="0.2">
      <c r="A129" s="171" t="s">
        <v>522</v>
      </c>
      <c r="B129" s="171">
        <v>780</v>
      </c>
      <c r="C129" s="1">
        <f>B129</f>
        <v>780</v>
      </c>
      <c r="D129" s="1">
        <f t="shared" si="6"/>
        <v>0</v>
      </c>
    </row>
    <row r="130" spans="1:7" x14ac:dyDescent="0.2">
      <c r="A130" s="198" t="s">
        <v>523</v>
      </c>
      <c r="B130" s="171">
        <v>490</v>
      </c>
      <c r="C130" s="1">
        <f>B130+100</f>
        <v>590</v>
      </c>
      <c r="D130" s="1">
        <f t="shared" si="6"/>
        <v>100</v>
      </c>
    </row>
    <row r="131" spans="1:7" x14ac:dyDescent="0.2">
      <c r="A131" s="211" t="s">
        <v>525</v>
      </c>
      <c r="B131" s="171">
        <v>190</v>
      </c>
      <c r="C131" s="1">
        <f>B131+100</f>
        <v>290</v>
      </c>
      <c r="D131" s="1">
        <f t="shared" si="6"/>
        <v>100</v>
      </c>
    </row>
    <row r="132" spans="1:7" ht="16" thickBot="1" x14ac:dyDescent="0.25">
      <c r="A132" s="208" t="s">
        <v>521</v>
      </c>
      <c r="B132" s="171">
        <v>4430</v>
      </c>
      <c r="C132" s="1">
        <f>C128+C129+C130</f>
        <v>4530</v>
      </c>
      <c r="D132" s="1">
        <f t="shared" si="6"/>
        <v>100</v>
      </c>
    </row>
    <row r="133" spans="1:7" ht="79" thickBot="1" x14ac:dyDescent="0.25">
      <c r="A133" s="94" t="s">
        <v>528</v>
      </c>
      <c r="B133" s="105">
        <f>(B123+B124+B125)/(B129+B130)</f>
        <v>0.65354330708661412</v>
      </c>
      <c r="C133" s="105">
        <f>(C123+C124+C125)/(C129+C130)</f>
        <v>0.67883211678832112</v>
      </c>
      <c r="D133" s="105">
        <f t="shared" si="6"/>
        <v>2.5288809701706993E-2</v>
      </c>
      <c r="E133" s="145" t="s">
        <v>527</v>
      </c>
      <c r="F133" t="s">
        <v>136</v>
      </c>
    </row>
    <row r="134" spans="1:7" x14ac:dyDescent="0.2">
      <c r="A134" s="19" t="s">
        <v>530</v>
      </c>
    </row>
    <row r="136" spans="1:7" ht="45" customHeight="1" x14ac:dyDescent="0.2">
      <c r="A136" s="307" t="s">
        <v>531</v>
      </c>
      <c r="B136" s="272"/>
      <c r="C136" s="272"/>
      <c r="D136" s="272"/>
      <c r="E136" s="272"/>
      <c r="F136" s="272"/>
      <c r="G136" s="272"/>
    </row>
    <row r="137" spans="1:7" x14ac:dyDescent="0.2">
      <c r="A137" s="207" t="s">
        <v>532</v>
      </c>
    </row>
    <row r="138" spans="1:7" x14ac:dyDescent="0.2">
      <c r="A138" t="s">
        <v>0</v>
      </c>
      <c r="B138" t="s">
        <v>533</v>
      </c>
      <c r="C138" t="s">
        <v>534</v>
      </c>
      <c r="D138" t="s">
        <v>40</v>
      </c>
    </row>
    <row r="139" spans="1:7" x14ac:dyDescent="0.2">
      <c r="A139" t="s">
        <v>535</v>
      </c>
      <c r="B139">
        <v>7000</v>
      </c>
      <c r="C139">
        <f>B139+D139</f>
        <v>6400</v>
      </c>
      <c r="D139">
        <f>-600</f>
        <v>-600</v>
      </c>
    </row>
    <row r="140" spans="1:7" x14ac:dyDescent="0.2">
      <c r="A140" t="s">
        <v>179</v>
      </c>
      <c r="B140">
        <v>50000</v>
      </c>
      <c r="C140">
        <f>B140</f>
        <v>50000</v>
      </c>
    </row>
    <row r="141" spans="1:7" x14ac:dyDescent="0.2">
      <c r="A141" t="s">
        <v>536</v>
      </c>
      <c r="B141">
        <f>C141-D139</f>
        <v>31600</v>
      </c>
      <c r="C141">
        <v>31000</v>
      </c>
    </row>
    <row r="142" spans="1:7" x14ac:dyDescent="0.2">
      <c r="A142" t="s">
        <v>537</v>
      </c>
      <c r="B142">
        <v>5000</v>
      </c>
      <c r="C142">
        <v>5000</v>
      </c>
    </row>
    <row r="143" spans="1:7" x14ac:dyDescent="0.2">
      <c r="A143" t="s">
        <v>538</v>
      </c>
      <c r="B143">
        <f>B140-B141-B142</f>
        <v>13400</v>
      </c>
      <c r="C143">
        <f>C140-C141-C142</f>
        <v>14000</v>
      </c>
      <c r="D143">
        <f>C143-B143</f>
        <v>600</v>
      </c>
    </row>
    <row r="144" spans="1:7" x14ac:dyDescent="0.2">
      <c r="A144" t="s">
        <v>539</v>
      </c>
      <c r="B144" s="176">
        <f>B143/B140</f>
        <v>0.26800000000000002</v>
      </c>
      <c r="C144" s="176">
        <f>C143/C140</f>
        <v>0.28000000000000003</v>
      </c>
      <c r="D144" s="176">
        <f>C144-B144</f>
        <v>1.2000000000000011E-2</v>
      </c>
    </row>
    <row r="145" spans="1:8" x14ac:dyDescent="0.2">
      <c r="A145" t="s">
        <v>540</v>
      </c>
      <c r="D145" s="176">
        <f>-D139/C140</f>
        <v>1.2E-2</v>
      </c>
    </row>
    <row r="147" spans="1:8" ht="27" customHeight="1" x14ac:dyDescent="0.2">
      <c r="A147" s="315" t="s">
        <v>541</v>
      </c>
      <c r="B147" s="272"/>
      <c r="C147" s="272"/>
      <c r="D147" s="272"/>
      <c r="E147" s="272"/>
      <c r="F147" s="272"/>
    </row>
    <row r="148" spans="1:8" ht="16" thickBot="1" x14ac:dyDescent="0.25">
      <c r="A148" s="207" t="s">
        <v>542</v>
      </c>
    </row>
    <row r="149" spans="1:8" ht="20" x14ac:dyDescent="0.2">
      <c r="A149" s="212"/>
      <c r="B149" s="309" t="s">
        <v>543</v>
      </c>
      <c r="C149" s="310"/>
    </row>
    <row r="150" spans="1:8" ht="16" thickBot="1" x14ac:dyDescent="0.25">
      <c r="A150" s="184" t="s">
        <v>91</v>
      </c>
      <c r="B150" s="311" t="s">
        <v>305</v>
      </c>
      <c r="C150" s="312"/>
    </row>
    <row r="151" spans="1:8" x14ac:dyDescent="0.2">
      <c r="A151" s="213"/>
      <c r="B151" s="169" t="s">
        <v>544</v>
      </c>
      <c r="C151" s="214" t="s">
        <v>545</v>
      </c>
      <c r="D151" s="1" t="s">
        <v>185</v>
      </c>
      <c r="E151" s="1" t="s">
        <v>553</v>
      </c>
      <c r="F151" s="1" t="s">
        <v>507</v>
      </c>
      <c r="G151" s="1" t="s">
        <v>508</v>
      </c>
      <c r="H151" s="1" t="s">
        <v>509</v>
      </c>
    </row>
    <row r="152" spans="1:8" ht="28" x14ac:dyDescent="0.2">
      <c r="A152" s="171" t="s">
        <v>552</v>
      </c>
      <c r="B152" s="171">
        <v>4630</v>
      </c>
      <c r="C152" s="171">
        <v>6700</v>
      </c>
      <c r="D152" s="1">
        <f>C152-B152</f>
        <v>2070</v>
      </c>
      <c r="E152" s="44">
        <f>D152/B152</f>
        <v>0.44708423326133911</v>
      </c>
      <c r="F152" s="174">
        <f>B152/B$159</f>
        <v>0.70957854406130272</v>
      </c>
      <c r="G152" s="174">
        <f>C152/C$159</f>
        <v>0.7318405243036592</v>
      </c>
      <c r="H152" s="73">
        <f>G152-F152</f>
        <v>2.2261980242356483E-2</v>
      </c>
    </row>
    <row r="153" spans="1:8" x14ac:dyDescent="0.2">
      <c r="A153" s="171" t="s">
        <v>546</v>
      </c>
      <c r="B153" s="171">
        <v>425</v>
      </c>
      <c r="C153" s="171">
        <v>525</v>
      </c>
      <c r="D153" s="1">
        <f t="shared" ref="D153:D159" si="7">C153-B153</f>
        <v>100</v>
      </c>
      <c r="E153" s="44">
        <f t="shared" ref="E153:E159" si="8">D153/B153</f>
        <v>0.23529411764705882</v>
      </c>
      <c r="F153" s="174">
        <f t="shared" ref="F153:F159" si="9">B153/B$159</f>
        <v>6.5134099616858232E-2</v>
      </c>
      <c r="G153" s="174">
        <f t="shared" ref="G153:G159" si="10">C153/C$159</f>
        <v>5.7345712725286727E-2</v>
      </c>
      <c r="H153" s="73">
        <f t="shared" ref="H153:H159" si="11">G153-F153</f>
        <v>-7.7883868915715054E-3</v>
      </c>
    </row>
    <row r="154" spans="1:8" ht="28" x14ac:dyDescent="0.2">
      <c r="A154" s="215" t="s">
        <v>547</v>
      </c>
      <c r="B154" s="215">
        <v>470</v>
      </c>
      <c r="C154" s="215">
        <v>510</v>
      </c>
      <c r="D154" s="1">
        <f t="shared" si="7"/>
        <v>40</v>
      </c>
      <c r="E154" s="44">
        <f t="shared" si="8"/>
        <v>8.5106382978723402E-2</v>
      </c>
      <c r="F154" s="174">
        <f t="shared" si="9"/>
        <v>7.2030651340996163E-2</v>
      </c>
      <c r="G154" s="174">
        <f t="shared" si="10"/>
        <v>5.5707263790278537E-2</v>
      </c>
      <c r="H154" s="73">
        <f t="shared" si="11"/>
        <v>-1.6323387550717626E-2</v>
      </c>
    </row>
    <row r="155" spans="1:8" ht="28" x14ac:dyDescent="0.2">
      <c r="A155" s="171" t="s">
        <v>548</v>
      </c>
      <c r="B155" s="313">
        <v>80</v>
      </c>
      <c r="C155" s="313">
        <v>180</v>
      </c>
      <c r="D155" s="1">
        <f t="shared" si="7"/>
        <v>100</v>
      </c>
      <c r="E155" s="44">
        <f t="shared" si="8"/>
        <v>1.25</v>
      </c>
      <c r="F155" s="174">
        <f t="shared" si="9"/>
        <v>1.2260536398467433E-2</v>
      </c>
      <c r="G155" s="174">
        <f t="shared" si="10"/>
        <v>1.9661387220098307E-2</v>
      </c>
      <c r="H155" s="73">
        <f t="shared" si="11"/>
        <v>7.4008508216308732E-3</v>
      </c>
    </row>
    <row r="156" spans="1:8" ht="28" x14ac:dyDescent="0.2">
      <c r="A156" s="171" t="s">
        <v>549</v>
      </c>
      <c r="B156" s="313"/>
      <c r="C156" s="313"/>
      <c r="D156" s="1"/>
      <c r="E156" s="44"/>
      <c r="F156" s="174"/>
      <c r="G156" s="174"/>
      <c r="H156" s="73"/>
    </row>
    <row r="157" spans="1:8" ht="28" x14ac:dyDescent="0.2">
      <c r="A157" s="171" t="s">
        <v>550</v>
      </c>
      <c r="B157" s="171">
        <v>530</v>
      </c>
      <c r="C157" s="171">
        <v>810</v>
      </c>
      <c r="D157" s="1">
        <f t="shared" si="7"/>
        <v>280</v>
      </c>
      <c r="E157" s="44">
        <f t="shared" si="8"/>
        <v>0.52830188679245282</v>
      </c>
      <c r="F157" s="174">
        <f t="shared" si="9"/>
        <v>8.1226053639846738E-2</v>
      </c>
      <c r="G157" s="174">
        <f t="shared" si="10"/>
        <v>8.8476242490442378E-2</v>
      </c>
      <c r="H157" s="73">
        <f t="shared" si="11"/>
        <v>7.2501888505956402E-3</v>
      </c>
    </row>
    <row r="158" spans="1:8" x14ac:dyDescent="0.2">
      <c r="A158" s="171" t="s">
        <v>551</v>
      </c>
      <c r="B158" s="171">
        <v>390</v>
      </c>
      <c r="C158" s="171">
        <v>430</v>
      </c>
      <c r="D158" s="1">
        <f t="shared" si="7"/>
        <v>40</v>
      </c>
      <c r="E158" s="44">
        <f t="shared" si="8"/>
        <v>0.10256410256410256</v>
      </c>
      <c r="F158" s="174">
        <f t="shared" si="9"/>
        <v>5.9770114942528735E-2</v>
      </c>
      <c r="G158" s="174">
        <f t="shared" si="10"/>
        <v>4.6968869470234847E-2</v>
      </c>
      <c r="H158" s="73">
        <f t="shared" si="11"/>
        <v>-1.2801245472293887E-2</v>
      </c>
    </row>
    <row r="159" spans="1:8" x14ac:dyDescent="0.2">
      <c r="A159" s="171" t="s">
        <v>19</v>
      </c>
      <c r="B159" s="171">
        <v>6525</v>
      </c>
      <c r="C159" s="171">
        <v>9155</v>
      </c>
      <c r="D159" s="1">
        <f t="shared" si="7"/>
        <v>2630</v>
      </c>
      <c r="E159" s="44">
        <f t="shared" si="8"/>
        <v>0.40306513409961686</v>
      </c>
      <c r="F159" s="174">
        <f t="shared" si="9"/>
        <v>1</v>
      </c>
      <c r="G159" s="174">
        <f t="shared" si="10"/>
        <v>1</v>
      </c>
      <c r="H159" s="73">
        <f t="shared" si="11"/>
        <v>0</v>
      </c>
    </row>
    <row r="160" spans="1:8" x14ac:dyDescent="0.2">
      <c r="A160" t="s">
        <v>554</v>
      </c>
      <c r="D160" s="216">
        <f>D154/D159</f>
        <v>1.5209125475285171E-2</v>
      </c>
    </row>
    <row r="162" spans="1:8" ht="40" customHeight="1" x14ac:dyDescent="0.2">
      <c r="A162" s="315" t="s">
        <v>555</v>
      </c>
      <c r="B162" s="272"/>
      <c r="C162" s="272"/>
      <c r="D162" s="272"/>
      <c r="E162" s="272"/>
      <c r="F162" s="272"/>
      <c r="G162" s="272"/>
      <c r="H162" s="272"/>
    </row>
    <row r="163" spans="1:8" x14ac:dyDescent="0.2">
      <c r="A163" s="192" t="s">
        <v>556</v>
      </c>
    </row>
    <row r="164" spans="1:8" x14ac:dyDescent="0.2">
      <c r="A164" s="1" t="s">
        <v>0</v>
      </c>
      <c r="B164" s="1">
        <v>1</v>
      </c>
      <c r="C164" s="1">
        <v>2</v>
      </c>
    </row>
    <row r="165" spans="1:8" x14ac:dyDescent="0.2">
      <c r="A165" s="1" t="s">
        <v>557</v>
      </c>
      <c r="B165" s="1">
        <v>60000</v>
      </c>
      <c r="C165" s="1">
        <f>B165</f>
        <v>60000</v>
      </c>
    </row>
    <row r="166" spans="1:8" x14ac:dyDescent="0.2">
      <c r="A166" s="1" t="s">
        <v>558</v>
      </c>
      <c r="B166" s="1">
        <v>40000</v>
      </c>
      <c r="C166" s="1">
        <f>45000</f>
        <v>45000</v>
      </c>
    </row>
    <row r="167" spans="1:8" x14ac:dyDescent="0.2">
      <c r="A167" s="1" t="s">
        <v>559</v>
      </c>
      <c r="B167" s="1"/>
      <c r="C167" s="1">
        <v>100</v>
      </c>
    </row>
    <row r="168" spans="1:8" x14ac:dyDescent="0.2">
      <c r="A168" s="1" t="s">
        <v>560</v>
      </c>
      <c r="B168" s="1"/>
      <c r="C168" s="1">
        <v>700</v>
      </c>
    </row>
    <row r="169" spans="1:8" x14ac:dyDescent="0.2">
      <c r="A169" s="1" t="s">
        <v>561</v>
      </c>
      <c r="B169" s="1">
        <f>B165-B166</f>
        <v>20000</v>
      </c>
      <c r="C169" s="1">
        <f>C165-C166</f>
        <v>15000</v>
      </c>
    </row>
    <row r="170" spans="1:8" x14ac:dyDescent="0.2">
      <c r="A170" s="170" t="s">
        <v>562</v>
      </c>
      <c r="B170">
        <f>B169*0.2</f>
        <v>4000</v>
      </c>
      <c r="C170">
        <f>C169*0.2</f>
        <v>3000</v>
      </c>
    </row>
    <row r="171" spans="1:8" x14ac:dyDescent="0.2">
      <c r="A171" s="170" t="s">
        <v>563</v>
      </c>
      <c r="B171" s="217">
        <f>B170</f>
        <v>4000</v>
      </c>
      <c r="C171" s="217">
        <f>C170+C168+C167</f>
        <v>3800</v>
      </c>
      <c r="D171" t="s">
        <v>564</v>
      </c>
    </row>
    <row r="176" spans="1:8" x14ac:dyDescent="0.2">
      <c r="A176" s="192" t="s">
        <v>565</v>
      </c>
    </row>
    <row r="177" spans="1:7" x14ac:dyDescent="0.2">
      <c r="A177" s="316" t="s">
        <v>0</v>
      </c>
      <c r="B177" s="187" t="s">
        <v>50</v>
      </c>
      <c r="C177" s="187" t="s">
        <v>50</v>
      </c>
      <c r="D177" s="1"/>
    </row>
    <row r="178" spans="1:7" x14ac:dyDescent="0.2">
      <c r="A178" s="316"/>
      <c r="B178" s="187" t="s">
        <v>566</v>
      </c>
      <c r="C178" s="187" t="s">
        <v>567</v>
      </c>
      <c r="D178" s="1" t="s">
        <v>572</v>
      </c>
    </row>
    <row r="179" spans="1:7" x14ac:dyDescent="0.2">
      <c r="A179" s="171" t="s">
        <v>570</v>
      </c>
      <c r="B179" s="171">
        <v>2100</v>
      </c>
      <c r="C179" s="171">
        <v>2100</v>
      </c>
      <c r="D179" s="1">
        <f>C179</f>
        <v>2100</v>
      </c>
    </row>
    <row r="180" spans="1:7" ht="42" x14ac:dyDescent="0.2">
      <c r="A180" s="218" t="s">
        <v>568</v>
      </c>
      <c r="B180" s="198">
        <v>2100</v>
      </c>
      <c r="C180" s="198">
        <v>1100</v>
      </c>
      <c r="D180" s="1">
        <f t="shared" ref="D180:D182" si="12">C180</f>
        <v>1100</v>
      </c>
    </row>
    <row r="181" spans="1:7" ht="70" x14ac:dyDescent="0.2">
      <c r="A181" s="218" t="s">
        <v>569</v>
      </c>
      <c r="B181" s="171" t="s">
        <v>474</v>
      </c>
      <c r="C181" s="171">
        <v>1000</v>
      </c>
      <c r="D181" s="1">
        <f t="shared" si="12"/>
        <v>1000</v>
      </c>
    </row>
    <row r="182" spans="1:7" ht="28" x14ac:dyDescent="0.2">
      <c r="A182" s="171" t="s">
        <v>571</v>
      </c>
      <c r="B182" s="210">
        <f>C182</f>
        <v>420</v>
      </c>
      <c r="C182" s="171">
        <v>420</v>
      </c>
      <c r="D182" s="1">
        <f t="shared" si="12"/>
        <v>420</v>
      </c>
      <c r="E182" t="s">
        <v>576</v>
      </c>
      <c r="G182" t="s">
        <v>575</v>
      </c>
    </row>
    <row r="183" spans="1:7" ht="27" thickBot="1" x14ac:dyDescent="0.25">
      <c r="A183" s="130" t="s">
        <v>396</v>
      </c>
      <c r="B183" s="129"/>
      <c r="C183" s="129">
        <f>C184+C185</f>
        <v>140</v>
      </c>
      <c r="D183" s="129">
        <f>D184+D185</f>
        <v>140</v>
      </c>
      <c r="E183" s="1">
        <v>1.25</v>
      </c>
      <c r="F183" s="73">
        <v>0.14000000000000001</v>
      </c>
      <c r="G183" s="134">
        <v>8.5000000000000006E-2</v>
      </c>
    </row>
    <row r="184" spans="1:7" ht="16" thickBot="1" x14ac:dyDescent="0.25">
      <c r="A184" s="135" t="s">
        <v>573</v>
      </c>
      <c r="B184" s="136"/>
      <c r="C184" s="137">
        <f>C181*F183</f>
        <v>140</v>
      </c>
      <c r="D184" s="138">
        <f>D181*F184</f>
        <v>106.25000000000001</v>
      </c>
      <c r="E184" s="139" t="s">
        <v>404</v>
      </c>
      <c r="F184" s="140">
        <f>G183*E183</f>
        <v>0.10625000000000001</v>
      </c>
      <c r="G184" s="1"/>
    </row>
    <row r="185" spans="1:7" ht="16" thickBot="1" x14ac:dyDescent="0.25">
      <c r="A185" s="135" t="s">
        <v>574</v>
      </c>
      <c r="B185" s="136"/>
      <c r="C185" s="136"/>
      <c r="D185" s="138">
        <f>D181*F185</f>
        <v>33.75</v>
      </c>
      <c r="E185" s="139" t="s">
        <v>405</v>
      </c>
      <c r="F185" s="141">
        <f>F183-F184</f>
        <v>3.3750000000000002E-2</v>
      </c>
      <c r="G185" s="1"/>
    </row>
    <row r="186" spans="1:7" ht="16" thickBot="1" x14ac:dyDescent="0.25">
      <c r="A186" s="133" t="s">
        <v>156</v>
      </c>
      <c r="B186" s="129">
        <f>B182-B183</f>
        <v>420</v>
      </c>
      <c r="C186" s="129">
        <f>C182-C183</f>
        <v>280</v>
      </c>
      <c r="D186" s="129">
        <f t="shared" ref="D186" si="13">D182-D183</f>
        <v>280</v>
      </c>
    </row>
    <row r="187" spans="1:7" ht="16" thickBot="1" x14ac:dyDescent="0.25">
      <c r="A187" s="133" t="s">
        <v>157</v>
      </c>
      <c r="B187" s="129">
        <f>B186+B185</f>
        <v>420</v>
      </c>
      <c r="C187" s="129">
        <f t="shared" ref="C187" si="14">C186+C185</f>
        <v>280</v>
      </c>
      <c r="D187" s="129">
        <f>D186+D185</f>
        <v>313.75</v>
      </c>
    </row>
    <row r="188" spans="1:7" ht="16" thickBot="1" x14ac:dyDescent="0.25">
      <c r="A188" s="133" t="s">
        <v>161</v>
      </c>
      <c r="B188" s="129">
        <f>B187*0.2</f>
        <v>84</v>
      </c>
      <c r="C188" s="129">
        <f t="shared" ref="C188:D188" si="15">C187*0.2</f>
        <v>56</v>
      </c>
      <c r="D188" s="129">
        <f t="shared" si="15"/>
        <v>62.75</v>
      </c>
    </row>
    <row r="189" spans="1:7" ht="16" thickBot="1" x14ac:dyDescent="0.25">
      <c r="A189" s="133" t="s">
        <v>227</v>
      </c>
      <c r="B189" s="129">
        <f>B186-B188</f>
        <v>336</v>
      </c>
      <c r="C189" s="129">
        <f t="shared" ref="C189:D189" si="16">C186-C188</f>
        <v>224</v>
      </c>
      <c r="D189" s="129">
        <f t="shared" si="16"/>
        <v>217.25</v>
      </c>
    </row>
    <row r="190" spans="1:7" ht="40" thickBot="1" x14ac:dyDescent="0.25">
      <c r="A190" s="133" t="s">
        <v>397</v>
      </c>
      <c r="B190" s="142">
        <f>B189/B180</f>
        <v>0.16</v>
      </c>
      <c r="C190" s="142">
        <f t="shared" ref="C190:D190" si="17">C189/C180</f>
        <v>0.20363636363636364</v>
      </c>
      <c r="D190" s="142">
        <f t="shared" si="17"/>
        <v>0.19750000000000001</v>
      </c>
    </row>
    <row r="191" spans="1:7" ht="16" thickBot="1" x14ac:dyDescent="0.25">
      <c r="A191" s="133" t="s">
        <v>398</v>
      </c>
      <c r="B191" s="131"/>
      <c r="C191" s="144">
        <f>C190-B190</f>
        <v>4.363636363636364E-2</v>
      </c>
      <c r="D191" s="144">
        <f>D190-B190</f>
        <v>3.7500000000000006E-2</v>
      </c>
    </row>
    <row r="192" spans="1:7" ht="31" thickBot="1" x14ac:dyDescent="0.25">
      <c r="A192" s="132" t="s">
        <v>399</v>
      </c>
      <c r="B192" s="129"/>
      <c r="C192" s="143">
        <f>0.8*(C193-F183)*C181/C180</f>
        <v>4.363636363636364E-2</v>
      </c>
      <c r="D192" s="143">
        <f>0.8*(D193-F184)*C181/C180-F185*D181/D180</f>
        <v>3.7500000000000006E-2</v>
      </c>
    </row>
    <row r="193" spans="1:6" ht="27" thickBot="1" x14ac:dyDescent="0.25">
      <c r="A193" s="133" t="s">
        <v>400</v>
      </c>
      <c r="B193" s="142">
        <f>B182/B179</f>
        <v>0.2</v>
      </c>
      <c r="C193" s="142">
        <f t="shared" ref="C193:D193" si="18">C182/C179</f>
        <v>0.2</v>
      </c>
      <c r="D193" s="142">
        <f t="shared" si="18"/>
        <v>0.2</v>
      </c>
    </row>
    <row r="195" spans="1:6" ht="16" thickBot="1" x14ac:dyDescent="0.25">
      <c r="A195" s="192" t="s">
        <v>577</v>
      </c>
    </row>
    <row r="196" spans="1:6" x14ac:dyDescent="0.2">
      <c r="A196" s="309" t="s">
        <v>91</v>
      </c>
      <c r="B196" s="310"/>
      <c r="C196" s="317" t="s">
        <v>543</v>
      </c>
      <c r="D196" s="318"/>
    </row>
    <row r="197" spans="1:6" ht="16" thickBot="1" x14ac:dyDescent="0.25">
      <c r="A197" s="219"/>
      <c r="B197" s="220"/>
      <c r="C197" s="319" t="s">
        <v>305</v>
      </c>
      <c r="D197" s="320"/>
    </row>
    <row r="198" spans="1:6" x14ac:dyDescent="0.2">
      <c r="A198" s="219"/>
      <c r="B198" s="220"/>
      <c r="C198" s="169" t="s">
        <v>578</v>
      </c>
      <c r="D198" s="169" t="s">
        <v>579</v>
      </c>
      <c r="E198" t="s">
        <v>586</v>
      </c>
      <c r="F198" t="s">
        <v>553</v>
      </c>
    </row>
    <row r="199" spans="1:6" x14ac:dyDescent="0.2">
      <c r="A199" s="313" t="s">
        <v>580</v>
      </c>
      <c r="B199" s="313"/>
      <c r="C199" s="171">
        <v>1920</v>
      </c>
      <c r="D199" s="171">
        <v>2350</v>
      </c>
      <c r="E199" s="1">
        <f>D199-C199</f>
        <v>430</v>
      </c>
      <c r="F199" s="44">
        <f>E199/C199</f>
        <v>0.22395833333333334</v>
      </c>
    </row>
    <row r="200" spans="1:6" x14ac:dyDescent="0.2">
      <c r="A200" s="313" t="s">
        <v>581</v>
      </c>
      <c r="B200" s="313"/>
      <c r="C200" s="171">
        <v>1840</v>
      </c>
      <c r="D200" s="171">
        <v>2265</v>
      </c>
      <c r="E200" s="1">
        <f t="shared" ref="E200:E209" si="19">D200-C200</f>
        <v>425</v>
      </c>
      <c r="F200" s="44">
        <f t="shared" ref="F200:F207" si="20">E200/C200</f>
        <v>0.23097826086956522</v>
      </c>
    </row>
    <row r="201" spans="1:6" x14ac:dyDescent="0.2">
      <c r="A201" s="313" t="s">
        <v>227</v>
      </c>
      <c r="B201" s="313"/>
      <c r="C201" s="171">
        <v>325</v>
      </c>
      <c r="D201" s="171">
        <v>400</v>
      </c>
      <c r="E201" s="1">
        <f t="shared" si="19"/>
        <v>75</v>
      </c>
      <c r="F201" s="44">
        <f t="shared" si="20"/>
        <v>0.23076923076923078</v>
      </c>
    </row>
    <row r="202" spans="1:6" ht="42" x14ac:dyDescent="0.2">
      <c r="A202" s="313" t="s">
        <v>582</v>
      </c>
      <c r="B202" s="171" t="s">
        <v>583</v>
      </c>
      <c r="C202" s="171">
        <v>5</v>
      </c>
      <c r="D202" s="171">
        <v>10</v>
      </c>
      <c r="E202" s="1">
        <f t="shared" si="19"/>
        <v>5</v>
      </c>
      <c r="F202" s="44">
        <f t="shared" si="20"/>
        <v>1</v>
      </c>
    </row>
    <row r="203" spans="1:6" ht="28" x14ac:dyDescent="0.2">
      <c r="A203" s="313"/>
      <c r="B203" s="171" t="s">
        <v>584</v>
      </c>
      <c r="C203" s="171">
        <v>130</v>
      </c>
      <c r="D203" s="171">
        <v>145</v>
      </c>
      <c r="E203" s="1">
        <f t="shared" si="19"/>
        <v>15</v>
      </c>
      <c r="F203" s="44">
        <f t="shared" si="20"/>
        <v>0.11538461538461539</v>
      </c>
    </row>
    <row r="204" spans="1:6" x14ac:dyDescent="0.2">
      <c r="A204" s="313"/>
      <c r="B204" s="171" t="s">
        <v>6</v>
      </c>
      <c r="C204" s="171">
        <v>175</v>
      </c>
      <c r="D204" s="171">
        <v>210</v>
      </c>
      <c r="E204" s="1">
        <f t="shared" si="19"/>
        <v>35</v>
      </c>
      <c r="F204" s="44">
        <f t="shared" si="20"/>
        <v>0.2</v>
      </c>
    </row>
    <row r="205" spans="1:6" ht="42" x14ac:dyDescent="0.2">
      <c r="A205" s="313"/>
      <c r="B205" s="171" t="s">
        <v>585</v>
      </c>
      <c r="C205" s="171">
        <v>75</v>
      </c>
      <c r="D205" s="171">
        <v>85</v>
      </c>
      <c r="E205" s="1">
        <f t="shared" si="19"/>
        <v>10</v>
      </c>
      <c r="F205" s="44">
        <f t="shared" si="20"/>
        <v>0.13333333333333333</v>
      </c>
    </row>
    <row r="206" spans="1:6" x14ac:dyDescent="0.2">
      <c r="A206" s="1" t="s">
        <v>587</v>
      </c>
      <c r="B206" s="1"/>
      <c r="C206" s="1">
        <f>C202+C203+C204+C205</f>
        <v>385</v>
      </c>
      <c r="D206" s="1">
        <f>D202+D203+D204+D205</f>
        <v>450</v>
      </c>
      <c r="E206" s="1">
        <f t="shared" si="19"/>
        <v>65</v>
      </c>
      <c r="F206" s="44">
        <f t="shared" si="20"/>
        <v>0.16883116883116883</v>
      </c>
    </row>
    <row r="207" spans="1:6" x14ac:dyDescent="0.2">
      <c r="A207" s="1" t="s">
        <v>588</v>
      </c>
      <c r="B207" s="1"/>
      <c r="C207" s="1">
        <f>C199-C200</f>
        <v>80</v>
      </c>
      <c r="D207" s="1">
        <f>D199-D200</f>
        <v>85</v>
      </c>
      <c r="E207" s="1">
        <f t="shared" si="19"/>
        <v>5</v>
      </c>
      <c r="F207" s="44">
        <f t="shared" si="20"/>
        <v>6.25E-2</v>
      </c>
    </row>
    <row r="208" spans="1:6" x14ac:dyDescent="0.2">
      <c r="A208" s="1" t="s">
        <v>590</v>
      </c>
      <c r="B208" s="1"/>
      <c r="C208" s="104">
        <f>C206/C201</f>
        <v>1.1846153846153846</v>
      </c>
      <c r="D208" s="104">
        <f>D206/D201</f>
        <v>1.125</v>
      </c>
      <c r="E208" s="38">
        <f t="shared" si="19"/>
        <v>-5.9615384615384626E-2</v>
      </c>
      <c r="F208" s="44"/>
    </row>
    <row r="209" spans="1:6" x14ac:dyDescent="0.2">
      <c r="A209" s="170" t="s">
        <v>589</v>
      </c>
      <c r="C209" s="176">
        <f>C206/C200</f>
        <v>0.20923913043478262</v>
      </c>
      <c r="D209" s="176">
        <f>D206/D200</f>
        <v>0.19867549668874171</v>
      </c>
      <c r="E209" s="44">
        <f t="shared" si="19"/>
        <v>-1.0563633746040912E-2</v>
      </c>
      <c r="F209" s="44"/>
    </row>
  </sheetData>
  <mergeCells count="24">
    <mergeCell ref="A162:H162"/>
    <mergeCell ref="A177:A178"/>
    <mergeCell ref="A196:B196"/>
    <mergeCell ref="A202:A205"/>
    <mergeCell ref="A201:B201"/>
    <mergeCell ref="A200:B200"/>
    <mergeCell ref="A199:B199"/>
    <mergeCell ref="C196:D196"/>
    <mergeCell ref="C197:D197"/>
    <mergeCell ref="C155:C156"/>
    <mergeCell ref="B155:B156"/>
    <mergeCell ref="A120:A121"/>
    <mergeCell ref="A136:G136"/>
    <mergeCell ref="A147:F147"/>
    <mergeCell ref="A110:G110"/>
    <mergeCell ref="A119:H119"/>
    <mergeCell ref="A78:G78"/>
    <mergeCell ref="B149:C149"/>
    <mergeCell ref="B150:C150"/>
    <mergeCell ref="B10:B11"/>
    <mergeCell ref="A27:J27"/>
    <mergeCell ref="A67:F67"/>
    <mergeCell ref="C92:C93"/>
    <mergeCell ref="B92:B9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2049" r:id="rId3">
          <objectPr defaultSize="0" autoPict="0" r:id="rId4">
            <anchor moveWithCells="1">
              <from>
                <xdr:col>0</xdr:col>
                <xdr:colOff>0</xdr:colOff>
                <xdr:row>72</xdr:row>
                <xdr:rowOff>0</xdr:rowOff>
              </from>
              <to>
                <xdr:col>1</xdr:col>
                <xdr:colOff>406400</xdr:colOff>
                <xdr:row>75</xdr:row>
                <xdr:rowOff>177800</xdr:rowOff>
              </to>
            </anchor>
          </objectPr>
        </oleObject>
      </mc:Choice>
      <mc:Fallback>
        <oleObject progId="Word.Document.12" shapeId="2049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00"/>
  <sheetViews>
    <sheetView topLeftCell="A192" zoomScale="170" zoomScaleNormal="170" zoomScalePageLayoutView="170" workbookViewId="0">
      <selection activeCell="D196" sqref="D196:D200"/>
    </sheetView>
  </sheetViews>
  <sheetFormatPr baseColWidth="10" defaultRowHeight="15" x14ac:dyDescent="0.2"/>
  <cols>
    <col min="1" max="1" width="30.1640625" customWidth="1"/>
    <col min="2" max="2" width="11.1640625" customWidth="1"/>
    <col min="3" max="3" width="14.5" customWidth="1"/>
    <col min="4" max="4" width="19.1640625" customWidth="1"/>
    <col min="5" max="5" width="20.5" customWidth="1"/>
    <col min="6" max="6" width="21.33203125" customWidth="1"/>
  </cols>
  <sheetData>
    <row r="3" spans="1:7" x14ac:dyDescent="0.2">
      <c r="A3" s="1" t="s">
        <v>0</v>
      </c>
      <c r="B3" s="1" t="s">
        <v>1</v>
      </c>
      <c r="C3" s="1" t="s">
        <v>2</v>
      </c>
      <c r="D3" s="1" t="s">
        <v>3</v>
      </c>
    </row>
    <row r="4" spans="1:7" x14ac:dyDescent="0.2">
      <c r="A4" s="1" t="s">
        <v>4</v>
      </c>
      <c r="B4" s="1">
        <v>0.18</v>
      </c>
      <c r="C4" s="1">
        <v>0.2</v>
      </c>
      <c r="D4" s="1">
        <f>C4-B4</f>
        <v>2.0000000000000018E-2</v>
      </c>
    </row>
    <row r="5" spans="1:7" x14ac:dyDescent="0.2">
      <c r="A5" s="1" t="s">
        <v>5</v>
      </c>
      <c r="B5" s="177">
        <v>1500000</v>
      </c>
      <c r="C5" s="177">
        <v>1800000</v>
      </c>
      <c r="D5" s="177">
        <f t="shared" ref="D5:D6" si="0">C5-B5</f>
        <v>300000</v>
      </c>
    </row>
    <row r="6" spans="1:7" x14ac:dyDescent="0.2">
      <c r="A6" s="1" t="s">
        <v>6</v>
      </c>
      <c r="B6" s="177">
        <f>B4*B5</f>
        <v>270000</v>
      </c>
      <c r="C6" s="177">
        <f>C4*C5</f>
        <v>360000</v>
      </c>
      <c r="D6" s="227">
        <f t="shared" si="0"/>
        <v>90000</v>
      </c>
    </row>
    <row r="7" spans="1:7" x14ac:dyDescent="0.2">
      <c r="A7" s="1" t="s">
        <v>7</v>
      </c>
      <c r="B7" s="177"/>
      <c r="C7" s="177"/>
      <c r="D7" s="177">
        <f>D4*B5</f>
        <v>30000.000000000025</v>
      </c>
    </row>
    <row r="8" spans="1:7" x14ac:dyDescent="0.2">
      <c r="A8" s="1" t="s">
        <v>8</v>
      </c>
      <c r="B8" s="177"/>
      <c r="C8" s="177"/>
      <c r="D8" s="177">
        <f>D5*C4</f>
        <v>60000</v>
      </c>
    </row>
    <row r="9" spans="1:7" x14ac:dyDescent="0.2">
      <c r="A9" s="1"/>
      <c r="B9" s="177"/>
      <c r="C9" s="177"/>
      <c r="D9" s="227">
        <f>SUM(D7:D8)</f>
        <v>90000.000000000029</v>
      </c>
    </row>
    <row r="11" spans="1:7" ht="60" customHeight="1" thickBot="1" x14ac:dyDescent="0.25">
      <c r="A11" s="272" t="s">
        <v>591</v>
      </c>
      <c r="B11" s="272"/>
      <c r="C11" s="272"/>
      <c r="D11" s="272"/>
      <c r="E11" s="272"/>
      <c r="F11" s="272"/>
      <c r="G11" s="272"/>
    </row>
    <row r="12" spans="1:7" ht="16" thickBot="1" x14ac:dyDescent="0.25">
      <c r="A12" s="280" t="s">
        <v>10</v>
      </c>
      <c r="B12" s="284" t="s">
        <v>11</v>
      </c>
      <c r="C12" s="285"/>
    </row>
    <row r="13" spans="1:7" ht="16" thickBot="1" x14ac:dyDescent="0.25">
      <c r="A13" s="281"/>
      <c r="B13" s="228">
        <v>44196</v>
      </c>
      <c r="C13" s="228">
        <v>44561</v>
      </c>
    </row>
    <row r="14" spans="1:7" ht="16" thickBot="1" x14ac:dyDescent="0.25">
      <c r="A14" s="151" t="s">
        <v>14</v>
      </c>
      <c r="B14" s="95">
        <v>360</v>
      </c>
      <c r="C14" s="95">
        <v>412</v>
      </c>
    </row>
    <row r="15" spans="1:7" ht="27" thickBot="1" x14ac:dyDescent="0.25">
      <c r="A15" s="151" t="s">
        <v>15</v>
      </c>
      <c r="B15" s="95">
        <v>125</v>
      </c>
      <c r="C15" s="95">
        <v>175</v>
      </c>
    </row>
    <row r="16" spans="1:7" ht="16" thickBot="1" x14ac:dyDescent="0.25">
      <c r="A16" s="151" t="s">
        <v>16</v>
      </c>
      <c r="B16" s="95">
        <v>53</v>
      </c>
      <c r="C16" s="95">
        <v>42</v>
      </c>
    </row>
    <row r="17" spans="1:9" ht="27" thickBot="1" x14ac:dyDescent="0.25">
      <c r="A17" s="151" t="s">
        <v>17</v>
      </c>
      <c r="B17" s="95">
        <v>165</v>
      </c>
      <c r="C17" s="95">
        <v>215</v>
      </c>
    </row>
    <row r="18" spans="1:9" ht="27" thickBot="1" x14ac:dyDescent="0.25">
      <c r="A18" s="151" t="s">
        <v>18</v>
      </c>
      <c r="B18" s="95">
        <v>85</v>
      </c>
      <c r="C18" s="95">
        <v>95</v>
      </c>
    </row>
    <row r="19" spans="1:9" x14ac:dyDescent="0.2">
      <c r="D19" s="230" t="s">
        <v>601</v>
      </c>
      <c r="E19" s="230"/>
      <c r="F19" s="231" t="s">
        <v>602</v>
      </c>
      <c r="G19" s="231"/>
      <c r="H19" s="234" t="s">
        <v>603</v>
      </c>
    </row>
    <row r="20" spans="1:9" x14ac:dyDescent="0.2">
      <c r="A20" s="293" t="s">
        <v>10</v>
      </c>
      <c r="B20" s="294" t="s">
        <v>11</v>
      </c>
      <c r="C20" s="294"/>
      <c r="D20" s="139" t="s">
        <v>599</v>
      </c>
      <c r="E20" s="139"/>
      <c r="F20" s="232" t="s">
        <v>600</v>
      </c>
      <c r="G20" s="232"/>
      <c r="H20" s="235"/>
    </row>
    <row r="21" spans="1:9" ht="30" x14ac:dyDescent="0.2">
      <c r="A21" s="293"/>
      <c r="B21" s="229">
        <v>44196</v>
      </c>
      <c r="C21" s="229">
        <v>44561</v>
      </c>
      <c r="D21" s="139" t="s">
        <v>85</v>
      </c>
      <c r="E21" s="139" t="s">
        <v>186</v>
      </c>
      <c r="F21" s="233" t="s">
        <v>596</v>
      </c>
      <c r="G21" s="233" t="s">
        <v>597</v>
      </c>
      <c r="H21" s="235" t="s">
        <v>598</v>
      </c>
    </row>
    <row r="22" spans="1:9" x14ac:dyDescent="0.2">
      <c r="A22" s="154" t="s">
        <v>14</v>
      </c>
      <c r="B22" s="155">
        <v>360</v>
      </c>
      <c r="C22" s="155">
        <v>412</v>
      </c>
      <c r="D22" s="1">
        <f>C22-B22</f>
        <v>52</v>
      </c>
      <c r="E22" s="44">
        <f>D22/B22</f>
        <v>0.14444444444444443</v>
      </c>
      <c r="F22" s="44">
        <f>B22/B$29</f>
        <v>0.55384615384615388</v>
      </c>
      <c r="G22" s="44">
        <f>C22/C$29</f>
        <v>0.513715710723192</v>
      </c>
      <c r="H22" s="122">
        <f>G22-F22</f>
        <v>-4.0130443122961879E-2</v>
      </c>
    </row>
    <row r="23" spans="1:9" x14ac:dyDescent="0.2">
      <c r="A23" s="35" t="s">
        <v>592</v>
      </c>
      <c r="B23" s="35">
        <f>B24+B25</f>
        <v>138</v>
      </c>
      <c r="C23" s="35">
        <f>C24+C25</f>
        <v>137</v>
      </c>
      <c r="D23" s="36">
        <f t="shared" ref="D23:D29" si="1">C23-B23</f>
        <v>-1</v>
      </c>
      <c r="E23" s="236">
        <f t="shared" ref="E23:E29" si="2">D23/B23</f>
        <v>-7.246376811594203E-3</v>
      </c>
      <c r="F23" s="236">
        <f t="shared" ref="F23:F29" si="3">B23/B$29</f>
        <v>0.21230769230769231</v>
      </c>
      <c r="G23" s="236">
        <f t="shared" ref="G23:G29" si="4">C23/C$29</f>
        <v>0.17082294264339151</v>
      </c>
      <c r="H23" s="237">
        <f t="shared" ref="H23:H29" si="5">G23-F23</f>
        <v>-4.1484749664300796E-2</v>
      </c>
    </row>
    <row r="24" spans="1:9" x14ac:dyDescent="0.2">
      <c r="A24" s="1" t="s">
        <v>21</v>
      </c>
      <c r="B24" s="1">
        <f>B16</f>
        <v>53</v>
      </c>
      <c r="C24" s="1">
        <f>C16</f>
        <v>42</v>
      </c>
      <c r="D24" s="1">
        <f t="shared" si="1"/>
        <v>-11</v>
      </c>
      <c r="E24" s="44">
        <f t="shared" si="2"/>
        <v>-0.20754716981132076</v>
      </c>
      <c r="F24" s="44">
        <f t="shared" si="3"/>
        <v>8.1538461538461532E-2</v>
      </c>
      <c r="G24" s="44">
        <f t="shared" si="4"/>
        <v>5.2369077306733167E-2</v>
      </c>
      <c r="H24" s="122">
        <f t="shared" si="5"/>
        <v>-2.9169384231728365E-2</v>
      </c>
    </row>
    <row r="25" spans="1:9" x14ac:dyDescent="0.2">
      <c r="A25" s="1" t="s">
        <v>22</v>
      </c>
      <c r="B25" s="1">
        <f>B18</f>
        <v>85</v>
      </c>
      <c r="C25" s="1">
        <f>C18</f>
        <v>95</v>
      </c>
      <c r="D25" s="1">
        <f t="shared" si="1"/>
        <v>10</v>
      </c>
      <c r="E25" s="238">
        <f t="shared" si="2"/>
        <v>0.11764705882352941</v>
      </c>
      <c r="F25" s="44">
        <f t="shared" si="3"/>
        <v>0.13076923076923078</v>
      </c>
      <c r="G25" s="44">
        <f t="shared" si="4"/>
        <v>0.11845386533665836</v>
      </c>
      <c r="H25" s="122">
        <f t="shared" si="5"/>
        <v>-1.2315365432572417E-2</v>
      </c>
    </row>
    <row r="26" spans="1:9" x14ac:dyDescent="0.2">
      <c r="A26" s="35" t="s">
        <v>593</v>
      </c>
      <c r="B26" s="35">
        <f>B27+B28</f>
        <v>152</v>
      </c>
      <c r="C26" s="35">
        <f>C27+C28</f>
        <v>253</v>
      </c>
      <c r="D26" s="36">
        <f t="shared" si="1"/>
        <v>101</v>
      </c>
      <c r="E26" s="236">
        <f t="shared" si="2"/>
        <v>0.66447368421052633</v>
      </c>
      <c r="F26" s="236">
        <f t="shared" si="3"/>
        <v>0.23384615384615384</v>
      </c>
      <c r="G26" s="236">
        <f t="shared" si="4"/>
        <v>0.31546134663341646</v>
      </c>
      <c r="H26" s="237">
        <f t="shared" si="5"/>
        <v>8.1615192787262619E-2</v>
      </c>
    </row>
    <row r="27" spans="1:9" x14ac:dyDescent="0.2">
      <c r="A27" s="1" t="s">
        <v>595</v>
      </c>
      <c r="B27" s="1">
        <f>B15-B16</f>
        <v>72</v>
      </c>
      <c r="C27" s="1">
        <f>C15-C16</f>
        <v>133</v>
      </c>
      <c r="D27" s="1">
        <f t="shared" si="1"/>
        <v>61</v>
      </c>
      <c r="E27" s="44">
        <f t="shared" si="2"/>
        <v>0.84722222222222221</v>
      </c>
      <c r="F27" s="44">
        <f t="shared" si="3"/>
        <v>0.11076923076923077</v>
      </c>
      <c r="G27" s="44">
        <f t="shared" si="4"/>
        <v>0.16583541147132169</v>
      </c>
      <c r="H27" s="122">
        <f t="shared" si="5"/>
        <v>5.5066180702090919E-2</v>
      </c>
    </row>
    <row r="28" spans="1:9" x14ac:dyDescent="0.2">
      <c r="A28" s="1" t="s">
        <v>594</v>
      </c>
      <c r="B28" s="1">
        <f>B17-B18</f>
        <v>80</v>
      </c>
      <c r="C28" s="1">
        <f>C17-C18</f>
        <v>120</v>
      </c>
      <c r="D28" s="1">
        <f t="shared" si="1"/>
        <v>40</v>
      </c>
      <c r="E28" s="44">
        <f t="shared" si="2"/>
        <v>0.5</v>
      </c>
      <c r="F28" s="44">
        <f t="shared" si="3"/>
        <v>0.12307692307692308</v>
      </c>
      <c r="G28" s="44">
        <f t="shared" si="4"/>
        <v>0.14962593516209477</v>
      </c>
      <c r="H28" s="122">
        <f t="shared" si="5"/>
        <v>2.6549012085171686E-2</v>
      </c>
    </row>
    <row r="29" spans="1:9" x14ac:dyDescent="0.2">
      <c r="A29" s="15" t="s">
        <v>84</v>
      </c>
      <c r="B29" s="1">
        <f>B22+B23+B26</f>
        <v>650</v>
      </c>
      <c r="C29" s="1">
        <f>C22+C23+C26</f>
        <v>802</v>
      </c>
      <c r="D29" s="1">
        <f t="shared" si="1"/>
        <v>152</v>
      </c>
      <c r="E29" s="44">
        <f t="shared" si="2"/>
        <v>0.23384615384615384</v>
      </c>
      <c r="F29" s="44">
        <f t="shared" si="3"/>
        <v>1</v>
      </c>
      <c r="G29" s="44">
        <f t="shared" si="4"/>
        <v>1</v>
      </c>
      <c r="H29" s="122">
        <f t="shared" si="5"/>
        <v>0</v>
      </c>
    </row>
    <row r="31" spans="1:9" ht="57" customHeight="1" x14ac:dyDescent="0.2">
      <c r="A31" s="303" t="s">
        <v>604</v>
      </c>
      <c r="B31" s="303"/>
      <c r="C31" s="303"/>
      <c r="D31" s="303"/>
      <c r="E31" s="303"/>
      <c r="F31" s="303"/>
      <c r="G31" s="303"/>
      <c r="H31" s="303"/>
      <c r="I31" s="303"/>
    </row>
    <row r="32" spans="1:9" x14ac:dyDescent="0.2">
      <c r="A32" s="293" t="s">
        <v>32</v>
      </c>
      <c r="B32" s="294" t="s">
        <v>33</v>
      </c>
      <c r="C32" s="294"/>
      <c r="D32" s="1"/>
      <c r="E32" s="1"/>
    </row>
    <row r="33" spans="1:11" ht="39" x14ac:dyDescent="0.2">
      <c r="A33" s="293"/>
      <c r="B33" s="154" t="s">
        <v>34</v>
      </c>
      <c r="C33" s="154" t="s">
        <v>35</v>
      </c>
      <c r="D33" s="1" t="s">
        <v>605</v>
      </c>
      <c r="E33" s="1"/>
    </row>
    <row r="34" spans="1:11" x14ac:dyDescent="0.2">
      <c r="A34" s="154" t="s">
        <v>36</v>
      </c>
      <c r="B34" s="155">
        <v>25</v>
      </c>
      <c r="C34" s="155">
        <v>22</v>
      </c>
      <c r="D34" s="1">
        <f>(B34-C34)*0.2</f>
        <v>0.60000000000000009</v>
      </c>
      <c r="E34" s="1" t="s">
        <v>43</v>
      </c>
    </row>
    <row r="35" spans="1:11" x14ac:dyDescent="0.2">
      <c r="A35" s="154" t="s">
        <v>37</v>
      </c>
      <c r="B35" s="155">
        <v>40</v>
      </c>
      <c r="C35" s="155">
        <v>30</v>
      </c>
      <c r="D35" s="1">
        <f>(B35-C35)*0.2</f>
        <v>2</v>
      </c>
      <c r="E35" s="1" t="s">
        <v>43</v>
      </c>
    </row>
    <row r="36" spans="1:11" ht="26" x14ac:dyDescent="0.2">
      <c r="A36" s="154" t="s">
        <v>38</v>
      </c>
      <c r="B36" s="155">
        <v>4</v>
      </c>
      <c r="C36" s="155">
        <v>2</v>
      </c>
      <c r="D36" s="1">
        <f>(B36-C36)*0.2</f>
        <v>0.4</v>
      </c>
      <c r="E36" s="1" t="s">
        <v>44</v>
      </c>
    </row>
    <row r="37" spans="1:11" ht="26" x14ac:dyDescent="0.2">
      <c r="A37" s="154" t="s">
        <v>39</v>
      </c>
      <c r="B37" s="155">
        <v>2.5</v>
      </c>
      <c r="C37" s="155">
        <v>0</v>
      </c>
      <c r="D37" s="1">
        <f>(B37-C37)*0.2</f>
        <v>0.5</v>
      </c>
      <c r="E37" s="1" t="s">
        <v>45</v>
      </c>
    </row>
    <row r="38" spans="1:11" ht="26" x14ac:dyDescent="0.2">
      <c r="A38" s="6" t="s">
        <v>606</v>
      </c>
      <c r="B38" s="1"/>
      <c r="C38" s="1"/>
      <c r="D38" s="1">
        <f>D34+D35+D36-D37</f>
        <v>2.5</v>
      </c>
      <c r="E38" s="1"/>
    </row>
    <row r="40" spans="1:11" ht="154" customHeight="1" x14ac:dyDescent="0.2">
      <c r="A40" s="303" t="s">
        <v>607</v>
      </c>
      <c r="B40" s="303"/>
      <c r="C40" s="303"/>
      <c r="D40" s="303"/>
      <c r="E40" s="303"/>
      <c r="F40" s="303"/>
      <c r="G40" s="303"/>
      <c r="H40" s="303"/>
      <c r="I40" s="303"/>
    </row>
    <row r="41" spans="1:11" ht="27" customHeight="1" thickBot="1" x14ac:dyDescent="0.25">
      <c r="A41" s="20" t="s">
        <v>608</v>
      </c>
      <c r="B41" s="21" t="s">
        <v>48</v>
      </c>
      <c r="C41" s="21" t="s">
        <v>49</v>
      </c>
      <c r="D41" s="21" t="s">
        <v>50</v>
      </c>
      <c r="F41" t="s">
        <v>609</v>
      </c>
      <c r="J41" s="328" t="s">
        <v>614</v>
      </c>
      <c r="K41" s="328"/>
    </row>
    <row r="42" spans="1:11" x14ac:dyDescent="0.2">
      <c r="A42" s="22" t="s">
        <v>59</v>
      </c>
      <c r="B42" s="23">
        <v>60</v>
      </c>
      <c r="C42" s="23">
        <v>51</v>
      </c>
      <c r="D42" s="24">
        <v>320</v>
      </c>
      <c r="F42" s="1" t="s">
        <v>48</v>
      </c>
      <c r="G42" s="1" t="s">
        <v>49</v>
      </c>
      <c r="J42" s="1" t="s">
        <v>48</v>
      </c>
      <c r="K42" s="1" t="s">
        <v>49</v>
      </c>
    </row>
    <row r="43" spans="1:11" x14ac:dyDescent="0.2">
      <c r="A43" s="25" t="s">
        <v>615</v>
      </c>
      <c r="B43" s="1">
        <v>41</v>
      </c>
      <c r="C43" s="1">
        <v>60</v>
      </c>
      <c r="D43" s="32">
        <f>320/1.2</f>
        <v>266.66666666666669</v>
      </c>
      <c r="E43" t="s">
        <v>610</v>
      </c>
      <c r="F43" s="1">
        <v>88</v>
      </c>
      <c r="G43" s="1"/>
      <c r="I43" t="s">
        <v>610</v>
      </c>
      <c r="J43" s="1"/>
      <c r="K43" s="1">
        <v>145</v>
      </c>
    </row>
    <row r="44" spans="1:11" x14ac:dyDescent="0.2">
      <c r="A44" s="25" t="s">
        <v>616</v>
      </c>
      <c r="B44" s="1">
        <v>19</v>
      </c>
      <c r="C44" s="1">
        <v>60</v>
      </c>
      <c r="D44" s="32">
        <f>320-D43</f>
        <v>53.333333333333314</v>
      </c>
      <c r="E44" t="s">
        <v>53</v>
      </c>
      <c r="F44" s="38">
        <f>D44</f>
        <v>53.333333333333314</v>
      </c>
      <c r="G44" s="1">
        <f>D45</f>
        <v>44</v>
      </c>
      <c r="I44" t="s">
        <v>53</v>
      </c>
      <c r="J44" s="1">
        <f>D45+D49</f>
        <v>92</v>
      </c>
      <c r="K44" s="1">
        <f>D48</f>
        <v>75</v>
      </c>
    </row>
    <row r="45" spans="1:11" ht="16" thickBot="1" x14ac:dyDescent="0.25">
      <c r="A45" s="27" t="s">
        <v>617</v>
      </c>
      <c r="B45" s="28" t="s">
        <v>69</v>
      </c>
      <c r="C45" s="28">
        <v>19</v>
      </c>
      <c r="D45" s="29">
        <v>44</v>
      </c>
      <c r="E45" t="s">
        <v>611</v>
      </c>
      <c r="F45" s="38">
        <f>F43-G44+F44</f>
        <v>97.333333333333314</v>
      </c>
      <c r="G45" s="1"/>
      <c r="I45" t="s">
        <v>611</v>
      </c>
      <c r="J45" s="1"/>
      <c r="K45" s="1">
        <f>K43+K44-J44</f>
        <v>128</v>
      </c>
    </row>
    <row r="46" spans="1:11" x14ac:dyDescent="0.2">
      <c r="A46" s="240" t="s">
        <v>618</v>
      </c>
      <c r="B46" s="23">
        <v>51</v>
      </c>
      <c r="C46" s="23">
        <v>62</v>
      </c>
      <c r="D46" s="24">
        <v>450</v>
      </c>
      <c r="E46" t="s">
        <v>612</v>
      </c>
      <c r="F46" s="38">
        <f>F45-F43</f>
        <v>9.3333333333333144</v>
      </c>
      <c r="G46" s="1"/>
      <c r="I46" t="s">
        <v>612</v>
      </c>
      <c r="J46" s="1"/>
      <c r="K46" s="1">
        <f>K45-K43</f>
        <v>-17</v>
      </c>
    </row>
    <row r="47" spans="1:11" x14ac:dyDescent="0.2">
      <c r="A47" s="25" t="s">
        <v>619</v>
      </c>
      <c r="B47" s="1">
        <v>62</v>
      </c>
      <c r="C47" s="1" t="s">
        <v>70</v>
      </c>
      <c r="D47" s="26">
        <v>450</v>
      </c>
      <c r="E47" t="s">
        <v>613</v>
      </c>
      <c r="F47" s="75">
        <f>F46/F43</f>
        <v>0.10606060606060584</v>
      </c>
      <c r="G47" s="1"/>
      <c r="I47" t="s">
        <v>613</v>
      </c>
      <c r="J47" s="1"/>
      <c r="K47" s="44">
        <f>K46/K43</f>
        <v>-0.11724137931034483</v>
      </c>
    </row>
    <row r="48" spans="1:11" x14ac:dyDescent="0.2">
      <c r="A48" s="25" t="s">
        <v>620</v>
      </c>
      <c r="B48" s="1" t="s">
        <v>71</v>
      </c>
      <c r="C48" s="1" t="s">
        <v>69</v>
      </c>
      <c r="D48" s="26">
        <f>D47*20/120</f>
        <v>75</v>
      </c>
    </row>
    <row r="49" spans="1:10" x14ac:dyDescent="0.2">
      <c r="A49" s="25" t="s">
        <v>621</v>
      </c>
      <c r="B49" s="1" t="s">
        <v>69</v>
      </c>
      <c r="C49" s="1">
        <v>51</v>
      </c>
      <c r="D49" s="26">
        <v>48</v>
      </c>
    </row>
    <row r="50" spans="1:10" x14ac:dyDescent="0.2">
      <c r="A50" s="25" t="s">
        <v>622</v>
      </c>
      <c r="B50" s="1" t="s">
        <v>72</v>
      </c>
      <c r="C50" s="1">
        <v>41</v>
      </c>
      <c r="D50" s="26"/>
    </row>
    <row r="51" spans="1:10" x14ac:dyDescent="0.2">
      <c r="A51" s="25" t="s">
        <v>623</v>
      </c>
      <c r="B51" s="1" t="s">
        <v>73</v>
      </c>
      <c r="C51" s="1">
        <v>99</v>
      </c>
      <c r="D51" s="26"/>
    </row>
    <row r="52" spans="1:10" ht="16" thickBot="1" x14ac:dyDescent="0.25">
      <c r="A52" s="27" t="s">
        <v>624</v>
      </c>
      <c r="B52" s="28">
        <v>99</v>
      </c>
      <c r="C52" s="28" t="s">
        <v>74</v>
      </c>
      <c r="D52" s="29"/>
    </row>
    <row r="54" spans="1:10" ht="32" customHeight="1" thickBot="1" x14ac:dyDescent="0.25">
      <c r="A54" s="322" t="s">
        <v>625</v>
      </c>
      <c r="B54" s="272"/>
      <c r="C54" s="272"/>
      <c r="D54" s="272"/>
      <c r="E54" s="272"/>
      <c r="F54" s="272"/>
      <c r="G54" s="272"/>
      <c r="H54" s="272"/>
      <c r="I54" s="272"/>
      <c r="J54" s="272"/>
    </row>
    <row r="55" spans="1:10" x14ac:dyDescent="0.2">
      <c r="A55" s="277" t="s">
        <v>358</v>
      </c>
      <c r="B55" s="277" t="s">
        <v>626</v>
      </c>
      <c r="C55" s="244" t="s">
        <v>627</v>
      </c>
      <c r="D55" s="1"/>
      <c r="E55" s="1"/>
    </row>
    <row r="56" spans="1:10" x14ac:dyDescent="0.2">
      <c r="A56" s="278"/>
      <c r="B56" s="278"/>
      <c r="C56" s="103" t="s">
        <v>628</v>
      </c>
      <c r="D56" s="1" t="s">
        <v>640</v>
      </c>
      <c r="E56" s="1" t="s">
        <v>641</v>
      </c>
    </row>
    <row r="57" spans="1:10" x14ac:dyDescent="0.2">
      <c r="A57" s="157" t="s">
        <v>179</v>
      </c>
      <c r="B57" s="155">
        <v>1934</v>
      </c>
      <c r="C57" s="155">
        <v>2398</v>
      </c>
      <c r="D57" s="1">
        <f>C57-B57</f>
        <v>464</v>
      </c>
      <c r="E57" s="44">
        <f>D57/B57</f>
        <v>0.23991726990692863</v>
      </c>
    </row>
    <row r="58" spans="1:10" x14ac:dyDescent="0.2">
      <c r="A58" s="157" t="s">
        <v>191</v>
      </c>
      <c r="B58" s="155">
        <v>1484</v>
      </c>
      <c r="C58" s="155">
        <v>1878</v>
      </c>
      <c r="D58" s="1">
        <f t="shared" ref="D58:D73" si="6">C58-B58</f>
        <v>394</v>
      </c>
      <c r="E58" s="44">
        <f t="shared" ref="E58:E71" si="7">D58/B58</f>
        <v>0.26549865229110514</v>
      </c>
    </row>
    <row r="59" spans="1:10" x14ac:dyDescent="0.2">
      <c r="A59" s="245" t="s">
        <v>642</v>
      </c>
      <c r="B59" s="58">
        <f>B57-B58</f>
        <v>450</v>
      </c>
      <c r="C59" s="58">
        <f>C57-C58</f>
        <v>520</v>
      </c>
      <c r="D59" s="2">
        <f t="shared" si="6"/>
        <v>70</v>
      </c>
      <c r="E59" s="40">
        <f t="shared" si="7"/>
        <v>0.15555555555555556</v>
      </c>
    </row>
    <row r="60" spans="1:10" ht="26" x14ac:dyDescent="0.2">
      <c r="A60" s="157" t="s">
        <v>629</v>
      </c>
      <c r="B60" s="155">
        <v>248</v>
      </c>
      <c r="C60" s="155">
        <v>304</v>
      </c>
      <c r="D60" s="1">
        <f t="shared" si="6"/>
        <v>56</v>
      </c>
      <c r="E60" s="44">
        <f t="shared" si="7"/>
        <v>0.22580645161290322</v>
      </c>
    </row>
    <row r="61" spans="1:10" x14ac:dyDescent="0.2">
      <c r="A61" s="245" t="s">
        <v>339</v>
      </c>
      <c r="B61" s="58">
        <f>B59-B60</f>
        <v>202</v>
      </c>
      <c r="C61" s="58">
        <f>C59-C60</f>
        <v>216</v>
      </c>
      <c r="D61" s="2">
        <f t="shared" si="6"/>
        <v>14</v>
      </c>
      <c r="E61" s="40">
        <f t="shared" si="7"/>
        <v>6.9306930693069313E-2</v>
      </c>
    </row>
    <row r="62" spans="1:10" x14ac:dyDescent="0.2">
      <c r="A62" s="157" t="s">
        <v>630</v>
      </c>
      <c r="B62" s="155">
        <v>-34</v>
      </c>
      <c r="C62" s="155">
        <v>-29</v>
      </c>
      <c r="D62" s="1">
        <f t="shared" si="6"/>
        <v>5</v>
      </c>
      <c r="E62" s="44"/>
    </row>
    <row r="63" spans="1:10" x14ac:dyDescent="0.2">
      <c r="A63" s="157" t="s">
        <v>631</v>
      </c>
      <c r="B63" s="155">
        <v>10</v>
      </c>
      <c r="C63" s="155">
        <v>16</v>
      </c>
      <c r="D63" s="1">
        <f t="shared" si="6"/>
        <v>6</v>
      </c>
      <c r="E63" s="44">
        <f t="shared" si="7"/>
        <v>0.6</v>
      </c>
    </row>
    <row r="64" spans="1:10" ht="26" x14ac:dyDescent="0.2">
      <c r="A64" s="157" t="s">
        <v>632</v>
      </c>
      <c r="B64" s="155">
        <v>15</v>
      </c>
      <c r="C64" s="155">
        <v>14</v>
      </c>
      <c r="D64" s="1">
        <f t="shared" si="6"/>
        <v>-1</v>
      </c>
      <c r="E64" s="44">
        <f t="shared" si="7"/>
        <v>-6.6666666666666666E-2</v>
      </c>
    </row>
    <row r="65" spans="1:8" ht="26" x14ac:dyDescent="0.2">
      <c r="A65" s="157" t="s">
        <v>633</v>
      </c>
      <c r="B65" s="155">
        <v>12</v>
      </c>
      <c r="C65" s="155">
        <v>13</v>
      </c>
      <c r="D65" s="1">
        <f t="shared" si="6"/>
        <v>1</v>
      </c>
      <c r="E65" s="44">
        <f t="shared" si="7"/>
        <v>8.3333333333333329E-2</v>
      </c>
    </row>
    <row r="66" spans="1:8" ht="32" x14ac:dyDescent="0.2">
      <c r="A66" s="246" t="s">
        <v>634</v>
      </c>
      <c r="B66" s="2">
        <f>B61+B62</f>
        <v>168</v>
      </c>
      <c r="C66" s="2">
        <f>C61+C62</f>
        <v>187</v>
      </c>
      <c r="D66" s="2">
        <f t="shared" si="6"/>
        <v>19</v>
      </c>
      <c r="E66" s="40">
        <f t="shared" si="7"/>
        <v>0.1130952380952381</v>
      </c>
    </row>
    <row r="67" spans="1:8" x14ac:dyDescent="0.2">
      <c r="A67" s="241" t="s">
        <v>635</v>
      </c>
      <c r="B67" s="1">
        <f>B69+B70</f>
        <v>-45.6</v>
      </c>
      <c r="C67" s="1">
        <f>C69+C70</f>
        <v>-50.4</v>
      </c>
      <c r="D67" s="1">
        <f t="shared" si="6"/>
        <v>-4.7999999999999972</v>
      </c>
      <c r="E67" s="44">
        <f t="shared" si="7"/>
        <v>0.10526315789473678</v>
      </c>
    </row>
    <row r="68" spans="1:8" ht="16" x14ac:dyDescent="0.2">
      <c r="A68" s="242" t="s">
        <v>636</v>
      </c>
      <c r="B68" s="1"/>
      <c r="C68" s="1"/>
      <c r="D68" s="1"/>
      <c r="E68" s="44"/>
    </row>
    <row r="69" spans="1:8" ht="16" x14ac:dyDescent="0.2">
      <c r="A69" s="243" t="s">
        <v>637</v>
      </c>
      <c r="B69" s="1">
        <f>-(B66*0.2+B65+(B63-B64))</f>
        <v>-40.6</v>
      </c>
      <c r="C69" s="1">
        <f>-(C66*0.2+C65+(C63-C64))</f>
        <v>-52.4</v>
      </c>
      <c r="D69" s="1">
        <f t="shared" si="6"/>
        <v>-11.799999999999997</v>
      </c>
      <c r="E69" s="44">
        <f t="shared" si="7"/>
        <v>0.29064039408866987</v>
      </c>
    </row>
    <row r="70" spans="1:8" ht="16" x14ac:dyDescent="0.2">
      <c r="A70" s="243" t="s">
        <v>638</v>
      </c>
      <c r="B70" s="1">
        <f>B63-B64</f>
        <v>-5</v>
      </c>
      <c r="C70" s="1">
        <f>C63-C64</f>
        <v>2</v>
      </c>
      <c r="D70" s="1">
        <f t="shared" si="6"/>
        <v>7</v>
      </c>
      <c r="E70" s="44">
        <f t="shared" si="7"/>
        <v>-1.4</v>
      </c>
    </row>
    <row r="71" spans="1:8" ht="16" x14ac:dyDescent="0.2">
      <c r="A71" s="246" t="s">
        <v>639</v>
      </c>
      <c r="B71" s="2">
        <f>B66+B67</f>
        <v>122.4</v>
      </c>
      <c r="C71" s="2">
        <f>C66+C67</f>
        <v>136.6</v>
      </c>
      <c r="D71" s="2">
        <f t="shared" si="6"/>
        <v>14.199999999999989</v>
      </c>
      <c r="E71" s="40">
        <f t="shared" si="7"/>
        <v>0.11601307189542474</v>
      </c>
    </row>
    <row r="72" spans="1:8" x14ac:dyDescent="0.2">
      <c r="A72" s="1" t="s">
        <v>643</v>
      </c>
      <c r="B72" s="44">
        <f>B71/B57</f>
        <v>6.3288521199586348E-2</v>
      </c>
      <c r="C72" s="44">
        <f>C71/C57</f>
        <v>5.6964136780650543E-2</v>
      </c>
      <c r="D72" s="44">
        <f t="shared" si="6"/>
        <v>-6.3243844189358051E-3</v>
      </c>
      <c r="E72" s="44"/>
    </row>
    <row r="73" spans="1:8" x14ac:dyDescent="0.2">
      <c r="B73" s="176">
        <f>B61/B57</f>
        <v>0.10444674250258532</v>
      </c>
      <c r="C73" s="176">
        <f>C61/C57</f>
        <v>9.0075062552126772E-2</v>
      </c>
      <c r="D73" s="44">
        <f t="shared" si="6"/>
        <v>-1.4371679950458544E-2</v>
      </c>
    </row>
    <row r="75" spans="1:8" ht="30" customHeight="1" x14ac:dyDescent="0.2">
      <c r="A75" s="272" t="s">
        <v>644</v>
      </c>
      <c r="B75" s="272"/>
      <c r="C75" s="272"/>
      <c r="D75" s="272"/>
      <c r="E75" s="272"/>
      <c r="F75" s="272"/>
      <c r="G75" s="272"/>
      <c r="H75" s="272"/>
    </row>
    <row r="77" spans="1:8" x14ac:dyDescent="0.2">
      <c r="A77" s="154" t="s">
        <v>77</v>
      </c>
      <c r="B77" s="90">
        <v>44196</v>
      </c>
      <c r="C77" s="90">
        <v>44561</v>
      </c>
      <c r="D77" s="1" t="s">
        <v>645</v>
      </c>
      <c r="E77" s="1" t="s">
        <v>553</v>
      </c>
    </row>
    <row r="78" spans="1:8" x14ac:dyDescent="0.2">
      <c r="A78" s="154" t="s">
        <v>14</v>
      </c>
      <c r="B78" s="155">
        <v>1700</v>
      </c>
      <c r="C78" s="155">
        <v>2000</v>
      </c>
      <c r="D78" s="1">
        <f>C78-B78</f>
        <v>300</v>
      </c>
      <c r="E78" s="44">
        <f>D78/B78</f>
        <v>0.17647058823529413</v>
      </c>
    </row>
    <row r="79" spans="1:8" x14ac:dyDescent="0.2">
      <c r="A79" s="154" t="s">
        <v>80</v>
      </c>
      <c r="B79" s="155">
        <v>1440</v>
      </c>
      <c r="C79" s="155">
        <v>1400</v>
      </c>
      <c r="D79" s="1">
        <f t="shared" ref="D79:D85" si="8">C79-B79</f>
        <v>-40</v>
      </c>
      <c r="E79" s="44">
        <f t="shared" ref="E79:E84" si="9">D79/B79</f>
        <v>-2.7777777777777776E-2</v>
      </c>
    </row>
    <row r="80" spans="1:8" x14ac:dyDescent="0.2">
      <c r="A80" s="154" t="s">
        <v>81</v>
      </c>
      <c r="B80" s="155">
        <v>1060</v>
      </c>
      <c r="C80" s="155">
        <v>1300</v>
      </c>
      <c r="D80" s="1">
        <f t="shared" si="8"/>
        <v>240</v>
      </c>
      <c r="E80" s="44">
        <f t="shared" si="9"/>
        <v>0.22641509433962265</v>
      </c>
    </row>
    <row r="81" spans="1:10" x14ac:dyDescent="0.2">
      <c r="A81" s="154" t="s">
        <v>82</v>
      </c>
      <c r="B81" s="155">
        <v>800</v>
      </c>
      <c r="C81" s="155">
        <v>700</v>
      </c>
      <c r="D81" s="1">
        <f t="shared" si="8"/>
        <v>-100</v>
      </c>
      <c r="E81" s="44">
        <f t="shared" si="9"/>
        <v>-0.125</v>
      </c>
    </row>
    <row r="82" spans="1:10" x14ac:dyDescent="0.2">
      <c r="A82" s="1" t="s">
        <v>646</v>
      </c>
      <c r="B82" s="1">
        <f>B79+B80</f>
        <v>2500</v>
      </c>
      <c r="C82" s="1">
        <f>C79+C80</f>
        <v>2700</v>
      </c>
      <c r="D82" s="1">
        <f t="shared" si="8"/>
        <v>200</v>
      </c>
      <c r="E82" s="44">
        <f t="shared" si="9"/>
        <v>0.08</v>
      </c>
    </row>
    <row r="83" spans="1:10" x14ac:dyDescent="0.2">
      <c r="A83" s="1" t="s">
        <v>450</v>
      </c>
      <c r="B83" s="1">
        <f>B78+B81</f>
        <v>2500</v>
      </c>
      <c r="C83" s="1">
        <f>C78+C81</f>
        <v>2700</v>
      </c>
      <c r="D83" s="1">
        <f t="shared" si="8"/>
        <v>200</v>
      </c>
      <c r="E83" s="44">
        <f t="shared" si="9"/>
        <v>0.08</v>
      </c>
    </row>
    <row r="84" spans="1:10" x14ac:dyDescent="0.2">
      <c r="A84" s="6" t="s">
        <v>647</v>
      </c>
      <c r="B84" s="1">
        <f>B78-B79</f>
        <v>260</v>
      </c>
      <c r="C84" s="1">
        <f>C78-C79</f>
        <v>600</v>
      </c>
      <c r="D84" s="1">
        <f t="shared" si="8"/>
        <v>340</v>
      </c>
      <c r="E84" s="44">
        <f t="shared" si="9"/>
        <v>1.3076923076923077</v>
      </c>
    </row>
    <row r="85" spans="1:10" ht="39" x14ac:dyDescent="0.2">
      <c r="A85" s="6" t="s">
        <v>648</v>
      </c>
      <c r="B85" s="38">
        <f>B84/B80</f>
        <v>0.24528301886792453</v>
      </c>
      <c r="C85" s="38">
        <f>C84/C80</f>
        <v>0.46153846153846156</v>
      </c>
      <c r="D85" s="43">
        <f t="shared" si="8"/>
        <v>0.21625544267053703</v>
      </c>
      <c r="E85" s="44"/>
      <c r="F85" t="s">
        <v>89</v>
      </c>
    </row>
    <row r="87" spans="1:10" ht="31" customHeight="1" x14ac:dyDescent="0.2">
      <c r="A87" s="272" t="s">
        <v>649</v>
      </c>
      <c r="B87" s="272"/>
      <c r="C87" s="272"/>
      <c r="D87" s="272"/>
      <c r="E87" s="272"/>
      <c r="F87" s="272"/>
      <c r="G87" s="272"/>
      <c r="H87" s="272"/>
      <c r="I87" s="272"/>
      <c r="J87" s="272"/>
    </row>
    <row r="88" spans="1:10" x14ac:dyDescent="0.2">
      <c r="A88" s="293" t="s">
        <v>119</v>
      </c>
      <c r="B88" s="294" t="s">
        <v>120</v>
      </c>
      <c r="C88" s="294"/>
      <c r="D88" s="1"/>
      <c r="E88" s="1"/>
    </row>
    <row r="89" spans="1:10" x14ac:dyDescent="0.2">
      <c r="A89" s="293"/>
      <c r="B89" s="229">
        <v>44196</v>
      </c>
      <c r="C89" s="229">
        <v>44561</v>
      </c>
      <c r="D89" s="1" t="s">
        <v>652</v>
      </c>
      <c r="E89" s="1" t="s">
        <v>653</v>
      </c>
    </row>
    <row r="90" spans="1:10" x14ac:dyDescent="0.2">
      <c r="A90" s="154" t="s">
        <v>121</v>
      </c>
      <c r="B90" s="156">
        <v>16360</v>
      </c>
      <c r="C90" s="155">
        <v>19900</v>
      </c>
      <c r="D90" s="62">
        <f>C90-B90</f>
        <v>3540</v>
      </c>
      <c r="E90" s="44">
        <f>D90/B90</f>
        <v>0.21638141809290953</v>
      </c>
    </row>
    <row r="91" spans="1:10" x14ac:dyDescent="0.2">
      <c r="A91" s="55" t="s">
        <v>122</v>
      </c>
      <c r="B91" s="155">
        <v>668</v>
      </c>
      <c r="C91" s="155">
        <v>764</v>
      </c>
      <c r="D91" s="62">
        <f t="shared" ref="D91:D104" si="10">C91-B91</f>
        <v>96</v>
      </c>
      <c r="E91" s="44">
        <f t="shared" ref="E91:E99" si="11">D91/B91</f>
        <v>0.1437125748502994</v>
      </c>
    </row>
    <row r="92" spans="1:10" ht="26" x14ac:dyDescent="0.2">
      <c r="A92" s="154" t="s">
        <v>651</v>
      </c>
      <c r="B92" s="155">
        <v>4708</v>
      </c>
      <c r="C92" s="155">
        <v>6512</v>
      </c>
      <c r="D92" s="62">
        <f t="shared" si="10"/>
        <v>1804</v>
      </c>
      <c r="E92" s="44">
        <f t="shared" si="11"/>
        <v>0.38317757009345793</v>
      </c>
    </row>
    <row r="93" spans="1:10" x14ac:dyDescent="0.2">
      <c r="A93" s="55" t="s">
        <v>123</v>
      </c>
      <c r="B93" s="155">
        <v>470</v>
      </c>
      <c r="C93" s="155">
        <v>860</v>
      </c>
      <c r="D93" s="62">
        <f t="shared" si="10"/>
        <v>390</v>
      </c>
      <c r="E93" s="44">
        <f t="shared" si="11"/>
        <v>0.82978723404255317</v>
      </c>
    </row>
    <row r="94" spans="1:10" x14ac:dyDescent="0.2">
      <c r="A94" s="154" t="s">
        <v>124</v>
      </c>
      <c r="B94" s="155">
        <v>9784</v>
      </c>
      <c r="C94" s="155">
        <v>10900</v>
      </c>
      <c r="D94" s="62">
        <f t="shared" si="10"/>
        <v>1116</v>
      </c>
      <c r="E94" s="44">
        <f t="shared" si="11"/>
        <v>0.11406377759607522</v>
      </c>
    </row>
    <row r="95" spans="1:10" x14ac:dyDescent="0.2">
      <c r="A95" s="55" t="s">
        <v>125</v>
      </c>
      <c r="B95" s="155">
        <v>1200</v>
      </c>
      <c r="C95" s="155">
        <v>1355</v>
      </c>
      <c r="D95" s="62">
        <f t="shared" si="10"/>
        <v>155</v>
      </c>
      <c r="E95" s="44">
        <f t="shared" si="11"/>
        <v>0.12916666666666668</v>
      </c>
    </row>
    <row r="96" spans="1:10" x14ac:dyDescent="0.2">
      <c r="A96" s="154" t="s">
        <v>95</v>
      </c>
      <c r="B96" s="155">
        <v>700</v>
      </c>
      <c r="C96" s="155">
        <v>924</v>
      </c>
      <c r="D96" s="62">
        <f t="shared" si="10"/>
        <v>224</v>
      </c>
      <c r="E96" s="44">
        <f t="shared" si="11"/>
        <v>0.32</v>
      </c>
    </row>
    <row r="97" spans="1:6" x14ac:dyDescent="0.2">
      <c r="A97" s="8" t="s">
        <v>82</v>
      </c>
      <c r="B97" s="58">
        <v>5120</v>
      </c>
      <c r="C97" s="58">
        <v>9600</v>
      </c>
      <c r="D97" s="251">
        <f t="shared" si="10"/>
        <v>4480</v>
      </c>
      <c r="E97" s="40">
        <f t="shared" si="11"/>
        <v>0.875</v>
      </c>
    </row>
    <row r="98" spans="1:6" x14ac:dyDescent="0.2">
      <c r="A98" s="6" t="s">
        <v>650</v>
      </c>
      <c r="B98" s="1">
        <f>B91+B92+B94+B96</f>
        <v>15860</v>
      </c>
      <c r="C98" s="1">
        <f>C91+C92+C94+C96</f>
        <v>19100</v>
      </c>
      <c r="D98" s="62">
        <f t="shared" si="10"/>
        <v>3240</v>
      </c>
      <c r="E98" s="44">
        <f t="shared" si="11"/>
        <v>0.20428751576292559</v>
      </c>
    </row>
    <row r="99" spans="1:6" ht="31" thickBot="1" x14ac:dyDescent="0.25">
      <c r="A99" s="249" t="s">
        <v>654</v>
      </c>
      <c r="B99" s="250">
        <f>B90-B98</f>
        <v>500</v>
      </c>
      <c r="C99" s="250">
        <f>C90-C98</f>
        <v>800</v>
      </c>
      <c r="D99" s="253">
        <f t="shared" si="10"/>
        <v>300</v>
      </c>
      <c r="E99" s="44">
        <f t="shared" si="11"/>
        <v>0.6</v>
      </c>
    </row>
    <row r="100" spans="1:6" ht="58" customHeight="1" thickBot="1" x14ac:dyDescent="0.25">
      <c r="A100" s="154" t="s">
        <v>127</v>
      </c>
      <c r="B100" s="105">
        <f>B91/B97</f>
        <v>0.13046874999999999</v>
      </c>
      <c r="C100" s="105">
        <f>C91/C97</f>
        <v>7.9583333333333339E-2</v>
      </c>
      <c r="D100" s="253">
        <f t="shared" si="10"/>
        <v>-5.0885416666666655E-2</v>
      </c>
      <c r="E100" s="154" t="s">
        <v>129</v>
      </c>
      <c r="F100" s="152" t="s">
        <v>134</v>
      </c>
    </row>
    <row r="101" spans="1:6" ht="82" customHeight="1" thickBot="1" x14ac:dyDescent="0.25">
      <c r="A101" s="154" t="s">
        <v>130</v>
      </c>
      <c r="B101" s="1">
        <f>(B91+B92)/B97</f>
        <v>1.05</v>
      </c>
      <c r="C101" s="43">
        <f>(C91+C92)/C97</f>
        <v>0.75791666666666668</v>
      </c>
      <c r="D101" s="253">
        <f t="shared" si="10"/>
        <v>-0.29208333333333336</v>
      </c>
      <c r="E101" s="154" t="s">
        <v>131</v>
      </c>
      <c r="F101" s="248" t="s">
        <v>135</v>
      </c>
    </row>
    <row r="102" spans="1:6" ht="59" customHeight="1" thickBot="1" x14ac:dyDescent="0.25">
      <c r="A102" s="154" t="s">
        <v>132</v>
      </c>
      <c r="B102" s="38">
        <f>(B90-B99)/B97</f>
        <v>3.09765625</v>
      </c>
      <c r="C102" s="38">
        <f>(C90-C99)/C97</f>
        <v>1.9895833333333333</v>
      </c>
      <c r="D102" s="253">
        <f t="shared" si="10"/>
        <v>-1.1080729166666667</v>
      </c>
      <c r="E102" s="154" t="s">
        <v>527</v>
      </c>
      <c r="F102" s="248" t="s">
        <v>136</v>
      </c>
    </row>
    <row r="103" spans="1:6" ht="39" x14ac:dyDescent="0.2">
      <c r="A103" s="154" t="s">
        <v>655</v>
      </c>
      <c r="B103" s="252">
        <f>(B91+B92-B93)/B97</f>
        <v>0.95820312500000004</v>
      </c>
      <c r="C103" s="252">
        <f>(C91+C92-C93)/C97</f>
        <v>0.66833333333333333</v>
      </c>
      <c r="D103" s="253">
        <f t="shared" si="10"/>
        <v>-0.28986979166666671</v>
      </c>
      <c r="E103" s="239"/>
    </row>
    <row r="104" spans="1:6" ht="39" x14ac:dyDescent="0.2">
      <c r="A104" s="154" t="s">
        <v>656</v>
      </c>
      <c r="B104" s="38">
        <f>(B90-B99-B93-B95)/B97</f>
        <v>2.771484375</v>
      </c>
      <c r="C104" s="38">
        <f>(C90-C99-C93-C95)/C97</f>
        <v>1.7588541666666666</v>
      </c>
      <c r="D104" s="253">
        <f t="shared" si="10"/>
        <v>-1.0126302083333334</v>
      </c>
      <c r="E104" s="1"/>
    </row>
    <row r="105" spans="1:6" x14ac:dyDescent="0.2">
      <c r="A105" s="1"/>
      <c r="B105" s="1"/>
      <c r="C105" s="1"/>
      <c r="D105" s="1"/>
      <c r="E105" s="1"/>
    </row>
    <row r="106" spans="1:6" ht="31" customHeight="1" x14ac:dyDescent="0.2">
      <c r="A106" s="324" t="s">
        <v>657</v>
      </c>
      <c r="B106" s="325"/>
      <c r="C106" s="326"/>
      <c r="D106" s="326"/>
      <c r="E106" s="327"/>
    </row>
    <row r="107" spans="1:6" ht="26" x14ac:dyDescent="0.2">
      <c r="A107" s="154" t="s">
        <v>91</v>
      </c>
      <c r="B107" s="155" t="s">
        <v>92</v>
      </c>
      <c r="C107" s="255"/>
      <c r="D107" s="1"/>
      <c r="E107" s="1"/>
    </row>
    <row r="108" spans="1:6" ht="26" x14ac:dyDescent="0.2">
      <c r="A108" s="154" t="s">
        <v>93</v>
      </c>
      <c r="B108" s="155">
        <v>1500</v>
      </c>
    </row>
    <row r="109" spans="1:6" x14ac:dyDescent="0.2">
      <c r="A109" s="154" t="s">
        <v>94</v>
      </c>
      <c r="B109" s="155">
        <v>1090</v>
      </c>
    </row>
    <row r="110" spans="1:6" x14ac:dyDescent="0.2">
      <c r="A110" s="154" t="s">
        <v>95</v>
      </c>
      <c r="B110" s="155">
        <v>205</v>
      </c>
    </row>
    <row r="111" spans="1:6" ht="26" x14ac:dyDescent="0.2">
      <c r="A111" s="154" t="s">
        <v>96</v>
      </c>
      <c r="B111" s="155">
        <v>2150</v>
      </c>
    </row>
    <row r="112" spans="1:6" x14ac:dyDescent="0.2">
      <c r="A112" s="154" t="s">
        <v>97</v>
      </c>
      <c r="B112" s="155">
        <v>100</v>
      </c>
    </row>
    <row r="113" spans="1:5" ht="27" thickBot="1" x14ac:dyDescent="0.25">
      <c r="A113" s="154" t="s">
        <v>98</v>
      </c>
      <c r="B113" s="155">
        <v>320</v>
      </c>
    </row>
    <row r="114" spans="1:5" ht="16" thickBot="1" x14ac:dyDescent="0.25">
      <c r="A114" s="45" t="s">
        <v>99</v>
      </c>
      <c r="B114" s="153">
        <f>B109+B110</f>
        <v>1295</v>
      </c>
    </row>
    <row r="115" spans="1:5" ht="27" thickBot="1" x14ac:dyDescent="0.25">
      <c r="A115" s="150" t="s">
        <v>100</v>
      </c>
      <c r="B115" s="48">
        <f>B111-B108</f>
        <v>650</v>
      </c>
    </row>
    <row r="116" spans="1:5" ht="16" thickBot="1" x14ac:dyDescent="0.25">
      <c r="A116" s="150" t="s">
        <v>101</v>
      </c>
      <c r="B116" s="48">
        <f>B115+B112</f>
        <v>750</v>
      </c>
      <c r="C116" t="s">
        <v>659</v>
      </c>
    </row>
    <row r="117" spans="1:5" ht="40" thickBot="1" x14ac:dyDescent="0.25">
      <c r="A117" s="150" t="s">
        <v>102</v>
      </c>
      <c r="B117" s="48">
        <f>B116+B113</f>
        <v>1070</v>
      </c>
      <c r="C117" s="256" t="s">
        <v>658</v>
      </c>
      <c r="D117" s="45" t="s">
        <v>106</v>
      </c>
      <c r="E117" s="49" t="s">
        <v>107</v>
      </c>
    </row>
    <row r="118" spans="1:5" ht="40" thickBot="1" x14ac:dyDescent="0.25">
      <c r="A118" s="150" t="s">
        <v>103</v>
      </c>
      <c r="B118" s="48">
        <f>B115-B114</f>
        <v>-645</v>
      </c>
      <c r="C118" s="256">
        <v>0</v>
      </c>
      <c r="D118" s="150" t="s">
        <v>108</v>
      </c>
      <c r="E118" s="51" t="s">
        <v>109</v>
      </c>
    </row>
    <row r="119" spans="1:5" ht="40" thickBot="1" x14ac:dyDescent="0.25">
      <c r="A119" s="150" t="s">
        <v>104</v>
      </c>
      <c r="B119" s="48">
        <f>B116-B114</f>
        <v>-545</v>
      </c>
      <c r="C119" s="256">
        <v>0</v>
      </c>
      <c r="D119" s="150" t="s">
        <v>110</v>
      </c>
      <c r="E119" s="51" t="s">
        <v>111</v>
      </c>
    </row>
    <row r="120" spans="1:5" ht="27" thickBot="1" x14ac:dyDescent="0.25">
      <c r="A120" s="150" t="s">
        <v>105</v>
      </c>
      <c r="B120" s="48">
        <f>B117-B114</f>
        <v>-225</v>
      </c>
      <c r="C120" s="256">
        <v>0</v>
      </c>
      <c r="D120" s="150" t="s">
        <v>112</v>
      </c>
      <c r="E120" s="51" t="s">
        <v>113</v>
      </c>
    </row>
    <row r="121" spans="1:5" ht="27" thickBot="1" x14ac:dyDescent="0.25">
      <c r="A121" s="257" t="s">
        <v>115</v>
      </c>
      <c r="B121" s="258"/>
      <c r="C121" s="259" t="s">
        <v>660</v>
      </c>
      <c r="D121" s="150" t="s">
        <v>114</v>
      </c>
      <c r="E121" s="50" t="s">
        <v>115</v>
      </c>
    </row>
    <row r="123" spans="1:5" x14ac:dyDescent="0.2">
      <c r="A123" s="260" t="s">
        <v>661</v>
      </c>
    </row>
    <row r="124" spans="1:5" x14ac:dyDescent="0.2">
      <c r="A124" s="172" t="s">
        <v>485</v>
      </c>
      <c r="C124" s="261">
        <f>B116/B114</f>
        <v>0.5791505791505791</v>
      </c>
    </row>
    <row r="125" spans="1:5" ht="21" customHeight="1" x14ac:dyDescent="0.2">
      <c r="A125" s="286" t="s">
        <v>662</v>
      </c>
      <c r="B125" s="272"/>
      <c r="C125" s="272"/>
      <c r="D125" s="272"/>
      <c r="E125" s="272"/>
    </row>
    <row r="126" spans="1:5" ht="26" x14ac:dyDescent="0.2">
      <c r="A126" s="154" t="s">
        <v>91</v>
      </c>
      <c r="B126" s="154" t="s">
        <v>141</v>
      </c>
      <c r="C126" s="154" t="s">
        <v>142</v>
      </c>
      <c r="D126" s="1" t="s">
        <v>460</v>
      </c>
    </row>
    <row r="127" spans="1:5" x14ac:dyDescent="0.2">
      <c r="A127" s="154" t="s">
        <v>143</v>
      </c>
      <c r="B127" s="154">
        <f>B130*B129</f>
        <v>32500</v>
      </c>
      <c r="C127" s="154">
        <f>B127+D127</f>
        <v>42500</v>
      </c>
      <c r="D127" s="1">
        <v>10000</v>
      </c>
    </row>
    <row r="128" spans="1:5" x14ac:dyDescent="0.2">
      <c r="A128" s="55" t="s">
        <v>144</v>
      </c>
      <c r="B128" s="154">
        <f>B127-0.75*26000</f>
        <v>13000</v>
      </c>
      <c r="C128" s="154">
        <f>B128+D128</f>
        <v>15500</v>
      </c>
      <c r="D128" s="1">
        <v>2500</v>
      </c>
    </row>
    <row r="129" spans="1:6" x14ac:dyDescent="0.2">
      <c r="A129" s="154" t="s">
        <v>82</v>
      </c>
      <c r="B129" s="66">
        <v>26000</v>
      </c>
      <c r="C129" s="154">
        <v>39000</v>
      </c>
      <c r="D129" s="62">
        <f>C129-B129</f>
        <v>13000</v>
      </c>
    </row>
    <row r="130" spans="1:6" ht="78" x14ac:dyDescent="0.2">
      <c r="A130" s="154" t="s">
        <v>132</v>
      </c>
      <c r="B130" s="154">
        <v>1.25</v>
      </c>
      <c r="C130" s="262">
        <f>C127/C129</f>
        <v>1.0897435897435896</v>
      </c>
      <c r="D130" s="263">
        <f t="shared" ref="D130:D131" si="12">C130-B130</f>
        <v>-0.16025641025641035</v>
      </c>
      <c r="E130" s="154" t="s">
        <v>527</v>
      </c>
    </row>
    <row r="131" spans="1:6" ht="39" x14ac:dyDescent="0.2">
      <c r="A131" s="154" t="s">
        <v>663</v>
      </c>
      <c r="B131" s="154">
        <v>0.75</v>
      </c>
      <c r="C131" s="70">
        <f>(C127-C128)/C129</f>
        <v>0.69230769230769229</v>
      </c>
      <c r="D131" s="263">
        <f t="shared" si="12"/>
        <v>-5.7692307692307709E-2</v>
      </c>
      <c r="E131" s="154" t="s">
        <v>665</v>
      </c>
    </row>
    <row r="132" spans="1:6" x14ac:dyDescent="0.2">
      <c r="A132" s="1" t="s">
        <v>664</v>
      </c>
      <c r="B132" s="1"/>
      <c r="C132" s="1"/>
      <c r="D132" s="1"/>
      <c r="E132" t="s">
        <v>666</v>
      </c>
    </row>
    <row r="133" spans="1:6" x14ac:dyDescent="0.2">
      <c r="A133" s="1"/>
      <c r="B133" s="1"/>
      <c r="C133" s="1"/>
      <c r="D133" s="1"/>
      <c r="E133" t="s">
        <v>667</v>
      </c>
    </row>
    <row r="134" spans="1:6" ht="43" customHeight="1" x14ac:dyDescent="0.2">
      <c r="A134" s="286" t="s">
        <v>668</v>
      </c>
      <c r="B134" s="272"/>
      <c r="C134" s="272"/>
      <c r="D134" s="272"/>
      <c r="E134" s="272"/>
    </row>
    <row r="135" spans="1:6" x14ac:dyDescent="0.2">
      <c r="A135" s="293" t="s">
        <v>91</v>
      </c>
      <c r="B135" s="294" t="s">
        <v>316</v>
      </c>
      <c r="C135" s="294"/>
      <c r="D135" s="1"/>
      <c r="E135" s="1"/>
      <c r="F135" s="1"/>
    </row>
    <row r="136" spans="1:6" x14ac:dyDescent="0.2">
      <c r="A136" s="293"/>
      <c r="B136" s="229">
        <v>44196</v>
      </c>
      <c r="C136" s="229">
        <v>44561</v>
      </c>
      <c r="D136" s="1" t="s">
        <v>85</v>
      </c>
      <c r="E136" s="1" t="s">
        <v>23</v>
      </c>
      <c r="F136" s="1"/>
    </row>
    <row r="137" spans="1:6" ht="52" x14ac:dyDescent="0.2">
      <c r="A137" s="154" t="s">
        <v>669</v>
      </c>
      <c r="B137" s="155">
        <v>130</v>
      </c>
      <c r="C137" s="155">
        <v>140</v>
      </c>
      <c r="D137" s="1">
        <f>C137-B137</f>
        <v>10</v>
      </c>
      <c r="E137" s="44">
        <f>D137/B137</f>
        <v>7.6923076923076927E-2</v>
      </c>
      <c r="F137" s="1"/>
    </row>
    <row r="138" spans="1:6" ht="26" x14ac:dyDescent="0.2">
      <c r="A138" s="154" t="s">
        <v>670</v>
      </c>
      <c r="B138" s="155">
        <v>0</v>
      </c>
      <c r="C138" s="155">
        <v>0</v>
      </c>
      <c r="D138" s="1">
        <f t="shared" ref="D138:D147" si="13">C138-B138</f>
        <v>0</v>
      </c>
      <c r="E138" s="44"/>
      <c r="F138" s="1"/>
    </row>
    <row r="139" spans="1:6" ht="26" x14ac:dyDescent="0.2">
      <c r="A139" s="154" t="s">
        <v>671</v>
      </c>
      <c r="B139" s="155">
        <v>32</v>
      </c>
      <c r="C139" s="155">
        <v>45</v>
      </c>
      <c r="D139" s="1">
        <f t="shared" si="13"/>
        <v>13</v>
      </c>
      <c r="E139" s="44">
        <f t="shared" ref="E139:E147" si="14">D139/B139</f>
        <v>0.40625</v>
      </c>
      <c r="F139" s="1"/>
    </row>
    <row r="140" spans="1:6" x14ac:dyDescent="0.2">
      <c r="A140" s="154" t="s">
        <v>672</v>
      </c>
      <c r="B140" s="155">
        <v>215</v>
      </c>
      <c r="C140" s="155">
        <v>275</v>
      </c>
      <c r="D140" s="1">
        <f t="shared" si="13"/>
        <v>60</v>
      </c>
      <c r="E140" s="44">
        <f t="shared" si="14"/>
        <v>0.27906976744186046</v>
      </c>
      <c r="F140" s="1"/>
    </row>
    <row r="141" spans="1:6" x14ac:dyDescent="0.2">
      <c r="A141" s="154" t="s">
        <v>673</v>
      </c>
      <c r="B141" s="155">
        <v>310</v>
      </c>
      <c r="C141" s="155">
        <v>400</v>
      </c>
      <c r="D141" s="1">
        <f t="shared" si="13"/>
        <v>90</v>
      </c>
      <c r="E141" s="44">
        <f t="shared" si="14"/>
        <v>0.29032258064516131</v>
      </c>
      <c r="F141" s="1"/>
    </row>
    <row r="142" spans="1:6" ht="26" x14ac:dyDescent="0.2">
      <c r="A142" s="264" t="s">
        <v>674</v>
      </c>
      <c r="B142" s="265">
        <v>220</v>
      </c>
      <c r="C142" s="265">
        <v>250</v>
      </c>
      <c r="D142" s="1">
        <f t="shared" si="13"/>
        <v>30</v>
      </c>
      <c r="E142" s="44">
        <f t="shared" si="14"/>
        <v>0.13636363636363635</v>
      </c>
      <c r="F142" s="1"/>
    </row>
    <row r="143" spans="1:6" ht="33" customHeight="1" x14ac:dyDescent="0.2">
      <c r="A143" s="154" t="s">
        <v>675</v>
      </c>
      <c r="B143" s="1">
        <f>B139+B140</f>
        <v>247</v>
      </c>
      <c r="C143" s="1">
        <f>C139+C140</f>
        <v>320</v>
      </c>
      <c r="D143" s="1">
        <f t="shared" si="13"/>
        <v>73</v>
      </c>
      <c r="E143" s="44">
        <f t="shared" si="14"/>
        <v>0.29554655870445345</v>
      </c>
      <c r="F143" s="154" t="s">
        <v>676</v>
      </c>
    </row>
    <row r="144" spans="1:6" ht="52" x14ac:dyDescent="0.2">
      <c r="A144" s="154" t="s">
        <v>677</v>
      </c>
      <c r="B144" s="1">
        <f>B137</f>
        <v>130</v>
      </c>
      <c r="C144" s="1">
        <f>C137</f>
        <v>140</v>
      </c>
      <c r="D144" s="1">
        <f t="shared" si="13"/>
        <v>10</v>
      </c>
      <c r="E144" s="44">
        <f t="shared" si="14"/>
        <v>7.6923076923076927E-2</v>
      </c>
      <c r="F144" s="154" t="s">
        <v>678</v>
      </c>
    </row>
    <row r="145" spans="1:6" ht="52" x14ac:dyDescent="0.2">
      <c r="A145" s="154" t="s">
        <v>679</v>
      </c>
      <c r="B145" s="1">
        <f>B142</f>
        <v>220</v>
      </c>
      <c r="C145" s="1">
        <f>C142</f>
        <v>250</v>
      </c>
      <c r="D145" s="1">
        <f t="shared" si="13"/>
        <v>30</v>
      </c>
      <c r="E145" s="44">
        <f t="shared" si="14"/>
        <v>0.13636363636363635</v>
      </c>
      <c r="F145" s="154" t="s">
        <v>680</v>
      </c>
    </row>
    <row r="146" spans="1:6" ht="39" x14ac:dyDescent="0.2">
      <c r="A146" s="154" t="s">
        <v>681</v>
      </c>
      <c r="B146" s="1">
        <f>B141</f>
        <v>310</v>
      </c>
      <c r="C146" s="1">
        <f>C141</f>
        <v>400</v>
      </c>
      <c r="D146" s="1">
        <f t="shared" si="13"/>
        <v>90</v>
      </c>
      <c r="E146" s="44">
        <f t="shared" si="14"/>
        <v>0.29032258064516131</v>
      </c>
      <c r="F146" s="154" t="s">
        <v>682</v>
      </c>
    </row>
    <row r="147" spans="1:6" ht="26" x14ac:dyDescent="0.2">
      <c r="A147" s="6" t="s">
        <v>683</v>
      </c>
      <c r="B147" s="1">
        <f>(B143+B144)-(B145+B146)</f>
        <v>-153</v>
      </c>
      <c r="C147" s="1">
        <f>(C143+C144)-(C145+C146)</f>
        <v>-190</v>
      </c>
      <c r="D147" s="1">
        <f t="shared" si="13"/>
        <v>-37</v>
      </c>
      <c r="E147" s="44">
        <f t="shared" si="14"/>
        <v>0.24183006535947713</v>
      </c>
      <c r="F147" s="1" t="s">
        <v>684</v>
      </c>
    </row>
    <row r="149" spans="1:6" ht="21" customHeight="1" x14ac:dyDescent="0.2">
      <c r="A149" s="286" t="s">
        <v>685</v>
      </c>
      <c r="B149" s="272"/>
      <c r="C149" s="272"/>
      <c r="D149" s="272"/>
      <c r="E149" s="272"/>
      <c r="F149" s="272"/>
    </row>
    <row r="150" spans="1:6" x14ac:dyDescent="0.2">
      <c r="A150" s="321" t="s">
        <v>0</v>
      </c>
      <c r="B150" s="321" t="s">
        <v>686</v>
      </c>
      <c r="C150" s="321"/>
      <c r="D150" s="1"/>
      <c r="E150" s="1"/>
    </row>
    <row r="151" spans="1:6" x14ac:dyDescent="0.2">
      <c r="A151" s="321"/>
      <c r="B151" s="229">
        <v>44196</v>
      </c>
      <c r="C151" s="229">
        <v>44561</v>
      </c>
      <c r="D151" s="1" t="s">
        <v>85</v>
      </c>
      <c r="E151" s="1" t="s">
        <v>23</v>
      </c>
    </row>
    <row r="152" spans="1:6" ht="26" x14ac:dyDescent="0.2">
      <c r="A152" s="266" t="s">
        <v>687</v>
      </c>
      <c r="B152" s="267">
        <v>1000</v>
      </c>
      <c r="C152" s="267">
        <v>1100</v>
      </c>
      <c r="D152" s="1">
        <f>C152-B152</f>
        <v>100</v>
      </c>
      <c r="E152" s="44">
        <f>D152/B152</f>
        <v>0.1</v>
      </c>
    </row>
    <row r="153" spans="1:6" x14ac:dyDescent="0.2">
      <c r="A153" s="266" t="s">
        <v>95</v>
      </c>
      <c r="B153" s="267">
        <v>890</v>
      </c>
      <c r="C153" s="267">
        <v>920</v>
      </c>
      <c r="D153" s="1">
        <f t="shared" ref="D153:D156" si="15">C153-B153</f>
        <v>30</v>
      </c>
      <c r="E153" s="44">
        <f t="shared" ref="E153:E155" si="16">D153/B153</f>
        <v>3.3707865168539325E-2</v>
      </c>
    </row>
    <row r="154" spans="1:6" ht="26" x14ac:dyDescent="0.2">
      <c r="A154" s="266" t="s">
        <v>688</v>
      </c>
      <c r="B154" s="267">
        <v>1750</v>
      </c>
      <c r="C154" s="267">
        <v>1780</v>
      </c>
      <c r="D154" s="1">
        <f t="shared" si="15"/>
        <v>30</v>
      </c>
      <c r="E154" s="44">
        <f t="shared" si="16"/>
        <v>1.7142857142857144E-2</v>
      </c>
    </row>
    <row r="155" spans="1:6" x14ac:dyDescent="0.2">
      <c r="A155" s="1" t="s">
        <v>689</v>
      </c>
      <c r="B155" s="1">
        <f>B152-B153</f>
        <v>110</v>
      </c>
      <c r="C155" s="1">
        <f>C152-C153</f>
        <v>180</v>
      </c>
      <c r="D155" s="1">
        <f t="shared" si="15"/>
        <v>70</v>
      </c>
      <c r="E155" s="44">
        <f t="shared" si="16"/>
        <v>0.63636363636363635</v>
      </c>
    </row>
    <row r="156" spans="1:6" ht="30" x14ac:dyDescent="0.2">
      <c r="A156" s="7" t="s">
        <v>690</v>
      </c>
      <c r="B156" s="105">
        <f>B155/B154</f>
        <v>6.2857142857142861E-2</v>
      </c>
      <c r="C156" s="105">
        <f>C155/C154</f>
        <v>0.10112359550561797</v>
      </c>
      <c r="D156" s="105">
        <f t="shared" si="15"/>
        <v>3.8266452648475113E-2</v>
      </c>
      <c r="E156" s="44"/>
    </row>
    <row r="158" spans="1:6" ht="28" customHeight="1" x14ac:dyDescent="0.2">
      <c r="A158" s="322" t="s">
        <v>691</v>
      </c>
      <c r="B158" s="272"/>
      <c r="C158" s="272"/>
      <c r="D158" s="272"/>
      <c r="E158" s="272"/>
      <c r="F158" s="272"/>
    </row>
    <row r="160" spans="1:6" x14ac:dyDescent="0.2">
      <c r="A160" s="154" t="s">
        <v>692</v>
      </c>
      <c r="B160" s="229">
        <v>44196</v>
      </c>
      <c r="C160" s="229">
        <v>44561</v>
      </c>
      <c r="D160" s="1" t="s">
        <v>85</v>
      </c>
      <c r="E160" s="1" t="s">
        <v>23</v>
      </c>
    </row>
    <row r="161" spans="1:7" x14ac:dyDescent="0.2">
      <c r="A161" s="154" t="s">
        <v>519</v>
      </c>
      <c r="B161" s="155">
        <v>2500</v>
      </c>
      <c r="C161" s="155">
        <v>2800</v>
      </c>
      <c r="D161" s="1">
        <f>C161-B161</f>
        <v>300</v>
      </c>
      <c r="E161" s="44">
        <f>D161/B161</f>
        <v>0.12</v>
      </c>
    </row>
    <row r="162" spans="1:7" x14ac:dyDescent="0.2">
      <c r="A162" s="154" t="s">
        <v>693</v>
      </c>
      <c r="B162" s="229"/>
      <c r="C162" s="229"/>
      <c r="D162" s="1">
        <f t="shared" ref="D162:D167" si="17">C162-B162</f>
        <v>0</v>
      </c>
      <c r="E162" s="44" t="e">
        <f t="shared" ref="E162:E166" si="18">D162/B162</f>
        <v>#DIV/0!</v>
      </c>
    </row>
    <row r="163" spans="1:7" x14ac:dyDescent="0.2">
      <c r="A163" s="154" t="s">
        <v>694</v>
      </c>
      <c r="B163" s="155">
        <v>1600</v>
      </c>
      <c r="C163" s="155">
        <v>1600</v>
      </c>
      <c r="D163" s="1">
        <f t="shared" si="17"/>
        <v>0</v>
      </c>
      <c r="E163" s="44">
        <f t="shared" si="18"/>
        <v>0</v>
      </c>
    </row>
    <row r="164" spans="1:7" x14ac:dyDescent="0.2">
      <c r="A164" s="154" t="s">
        <v>695</v>
      </c>
      <c r="B164" s="155">
        <v>2200</v>
      </c>
      <c r="C164" s="155">
        <v>2900</v>
      </c>
      <c r="D164" s="1">
        <f t="shared" si="17"/>
        <v>700</v>
      </c>
      <c r="E164" s="44">
        <f t="shared" si="18"/>
        <v>0.31818181818181818</v>
      </c>
    </row>
    <row r="165" spans="1:7" x14ac:dyDescent="0.2">
      <c r="A165" s="154" t="s">
        <v>14</v>
      </c>
      <c r="B165" s="155">
        <f>B163+B164</f>
        <v>3800</v>
      </c>
      <c r="C165" s="155">
        <f>C163+C164</f>
        <v>4500</v>
      </c>
      <c r="D165" s="1">
        <f t="shared" si="17"/>
        <v>700</v>
      </c>
      <c r="E165" s="44">
        <f t="shared" si="18"/>
        <v>0.18421052631578946</v>
      </c>
    </row>
    <row r="166" spans="1:7" ht="65" x14ac:dyDescent="0.2">
      <c r="A166" s="76" t="s">
        <v>699</v>
      </c>
      <c r="B166" s="1">
        <f>B165-B161</f>
        <v>1300</v>
      </c>
      <c r="C166" s="1">
        <f>C165-C161</f>
        <v>1700</v>
      </c>
      <c r="D166" s="1">
        <f t="shared" si="17"/>
        <v>400</v>
      </c>
      <c r="E166" s="44">
        <f t="shared" si="18"/>
        <v>0.30769230769230771</v>
      </c>
      <c r="F166" s="154" t="s">
        <v>700</v>
      </c>
      <c r="G166" s="76" t="s">
        <v>701</v>
      </c>
    </row>
    <row r="167" spans="1:7" ht="65" x14ac:dyDescent="0.2">
      <c r="A167" s="154" t="s">
        <v>696</v>
      </c>
      <c r="B167" s="105">
        <f>B166/B165</f>
        <v>0.34210526315789475</v>
      </c>
      <c r="C167" s="105">
        <f>C166/C165</f>
        <v>0.37777777777777777</v>
      </c>
      <c r="D167" s="43">
        <f t="shared" si="17"/>
        <v>3.5672514619883022E-2</v>
      </c>
      <c r="E167" s="44"/>
      <c r="F167" s="154" t="s">
        <v>697</v>
      </c>
      <c r="G167" s="76" t="s">
        <v>698</v>
      </c>
    </row>
    <row r="169" spans="1:7" ht="25" customHeight="1" x14ac:dyDescent="0.2">
      <c r="A169" s="302" t="s">
        <v>702</v>
      </c>
      <c r="B169" s="272"/>
      <c r="C169" s="272"/>
      <c r="D169" s="272"/>
      <c r="E169" s="272"/>
      <c r="F169" s="272"/>
    </row>
    <row r="170" spans="1:7" ht="39" x14ac:dyDescent="0.2">
      <c r="A170" s="71" t="s">
        <v>0</v>
      </c>
      <c r="B170" s="154" t="s">
        <v>154</v>
      </c>
      <c r="C170" s="154" t="s">
        <v>155</v>
      </c>
      <c r="D170" s="1" t="s">
        <v>85</v>
      </c>
      <c r="E170" s="1" t="s">
        <v>23</v>
      </c>
    </row>
    <row r="171" spans="1:7" x14ac:dyDescent="0.2">
      <c r="A171" s="154" t="s">
        <v>156</v>
      </c>
      <c r="B171" s="155">
        <v>1380</v>
      </c>
      <c r="C171" s="155">
        <v>1260</v>
      </c>
      <c r="D171" s="1">
        <f t="shared" ref="D171:D174" si="19">C171-B171</f>
        <v>-120</v>
      </c>
      <c r="E171" s="44">
        <f>D171/B171</f>
        <v>-8.6956521739130432E-2</v>
      </c>
    </row>
    <row r="172" spans="1:7" x14ac:dyDescent="0.2">
      <c r="A172" s="154" t="s">
        <v>157</v>
      </c>
      <c r="B172" s="155">
        <v>1240</v>
      </c>
      <c r="C172" s="155">
        <v>1150</v>
      </c>
      <c r="D172" s="1">
        <f t="shared" si="19"/>
        <v>-90</v>
      </c>
      <c r="E172" s="44">
        <f t="shared" ref="E172:E175" si="20">D172/B172</f>
        <v>-7.2580645161290328E-2</v>
      </c>
    </row>
    <row r="173" spans="1:7" x14ac:dyDescent="0.2">
      <c r="A173" s="154" t="s">
        <v>158</v>
      </c>
      <c r="B173" s="155">
        <v>6500</v>
      </c>
      <c r="C173" s="155">
        <f>B173+D175</f>
        <v>6398</v>
      </c>
      <c r="D173" s="1">
        <f t="shared" si="19"/>
        <v>-102</v>
      </c>
      <c r="E173" s="44">
        <f t="shared" si="20"/>
        <v>-1.5692307692307693E-2</v>
      </c>
    </row>
    <row r="174" spans="1:7" x14ac:dyDescent="0.2">
      <c r="A174" s="1" t="s">
        <v>161</v>
      </c>
      <c r="B174" s="1">
        <f>B172*0.2</f>
        <v>248</v>
      </c>
      <c r="C174" s="1">
        <f>C172*0.2</f>
        <v>230</v>
      </c>
      <c r="D174" s="1">
        <f t="shared" si="19"/>
        <v>-18</v>
      </c>
      <c r="E174" s="44">
        <f t="shared" si="20"/>
        <v>-7.2580645161290328E-2</v>
      </c>
    </row>
    <row r="175" spans="1:7" x14ac:dyDescent="0.2">
      <c r="A175" s="1" t="s">
        <v>227</v>
      </c>
      <c r="B175" s="1">
        <f>B171-B174</f>
        <v>1132</v>
      </c>
      <c r="C175" s="1">
        <f>C171-C174</f>
        <v>1030</v>
      </c>
      <c r="D175" s="1">
        <f>C175-B175</f>
        <v>-102</v>
      </c>
      <c r="E175" s="44">
        <f t="shared" si="20"/>
        <v>-9.0106007067137811E-2</v>
      </c>
    </row>
    <row r="176" spans="1:7" x14ac:dyDescent="0.2">
      <c r="A176" s="1" t="s">
        <v>703</v>
      </c>
      <c r="B176" s="44">
        <f>B175/B173</f>
        <v>0.17415384615384616</v>
      </c>
      <c r="C176" s="44">
        <f>C175/C173</f>
        <v>0.1609878086902157</v>
      </c>
      <c r="D176" s="44">
        <f>C176-B176</f>
        <v>-1.3166037463630459E-2</v>
      </c>
      <c r="E176" s="1"/>
    </row>
    <row r="177" spans="1:6" x14ac:dyDescent="0.2">
      <c r="A177" s="1"/>
      <c r="B177" s="1"/>
      <c r="C177" s="1"/>
      <c r="D177" s="1"/>
      <c r="E177" s="1"/>
    </row>
    <row r="178" spans="1:6" ht="42" customHeight="1" x14ac:dyDescent="0.2">
      <c r="A178" s="323" t="s">
        <v>704</v>
      </c>
      <c r="B178" s="272"/>
      <c r="C178" s="272"/>
      <c r="D178" s="272"/>
      <c r="E178" s="272"/>
      <c r="F178" s="272"/>
    </row>
    <row r="179" spans="1:6" ht="26" customHeight="1" x14ac:dyDescent="0.2">
      <c r="A179" s="293" t="s">
        <v>91</v>
      </c>
      <c r="B179" s="293" t="s">
        <v>164</v>
      </c>
      <c r="C179" s="293"/>
      <c r="D179" s="1"/>
      <c r="E179" s="1"/>
    </row>
    <row r="180" spans="1:6" ht="46" customHeight="1" x14ac:dyDescent="0.2">
      <c r="A180" s="293"/>
      <c r="B180" s="154" t="s">
        <v>165</v>
      </c>
      <c r="C180" s="154" t="s">
        <v>166</v>
      </c>
      <c r="D180" s="1" t="s">
        <v>85</v>
      </c>
      <c r="E180" s="1" t="s">
        <v>23</v>
      </c>
    </row>
    <row r="181" spans="1:6" x14ac:dyDescent="0.2">
      <c r="A181" s="154" t="s">
        <v>167</v>
      </c>
      <c r="B181" s="155">
        <v>258710</v>
      </c>
      <c r="C181" s="155">
        <v>272708</v>
      </c>
      <c r="D181" s="1">
        <f>C181-B181</f>
        <v>13998</v>
      </c>
      <c r="E181" s="44">
        <f>D181/B181</f>
        <v>5.4106915078659501E-2</v>
      </c>
    </row>
    <row r="182" spans="1:6" ht="26" x14ac:dyDescent="0.2">
      <c r="A182" s="154" t="s">
        <v>168</v>
      </c>
      <c r="B182" s="155">
        <v>103396</v>
      </c>
      <c r="C182" s="155">
        <v>98510</v>
      </c>
      <c r="D182" s="1">
        <f t="shared" ref="D182:D187" si="21">C182-B182</f>
        <v>-4886</v>
      </c>
      <c r="E182" s="44">
        <f t="shared" ref="E182:E186" si="22">D182/B182</f>
        <v>-4.7255212967619635E-2</v>
      </c>
    </row>
    <row r="183" spans="1:6" ht="26" x14ac:dyDescent="0.2">
      <c r="A183" s="154" t="s">
        <v>169</v>
      </c>
      <c r="B183" s="155">
        <v>15432</v>
      </c>
      <c r="C183" s="155">
        <v>14505</v>
      </c>
      <c r="D183" s="1">
        <f t="shared" si="21"/>
        <v>-927</v>
      </c>
      <c r="E183" s="44">
        <f t="shared" si="22"/>
        <v>-6.0069984447900467E-2</v>
      </c>
    </row>
    <row r="184" spans="1:6" ht="26" x14ac:dyDescent="0.2">
      <c r="A184" s="154" t="s">
        <v>170</v>
      </c>
      <c r="B184" s="294">
        <v>29025</v>
      </c>
      <c r="C184" s="294">
        <v>25095</v>
      </c>
      <c r="D184" s="1">
        <f t="shared" si="21"/>
        <v>-3930</v>
      </c>
      <c r="E184" s="44">
        <f t="shared" si="22"/>
        <v>-0.13540051679586562</v>
      </c>
    </row>
    <row r="185" spans="1:6" ht="26" x14ac:dyDescent="0.2">
      <c r="A185" s="154" t="s">
        <v>171</v>
      </c>
      <c r="B185" s="294"/>
      <c r="C185" s="294"/>
      <c r="D185" s="1"/>
      <c r="E185" s="44"/>
    </row>
    <row r="186" spans="1:6" x14ac:dyDescent="0.2">
      <c r="A186" s="1" t="s">
        <v>339</v>
      </c>
      <c r="B186" s="1">
        <f>B181-B182-B183-B184</f>
        <v>110857</v>
      </c>
      <c r="C186" s="1">
        <f>C181-C182-C183-C184</f>
        <v>134598</v>
      </c>
      <c r="D186" s="1">
        <f t="shared" si="21"/>
        <v>23741</v>
      </c>
      <c r="E186" s="44">
        <f t="shared" si="22"/>
        <v>0.2141587811324499</v>
      </c>
    </row>
    <row r="187" spans="1:6" x14ac:dyDescent="0.2">
      <c r="A187" s="1" t="s">
        <v>184</v>
      </c>
      <c r="B187" s="44">
        <f>B186/B181</f>
        <v>0.42849909164701788</v>
      </c>
      <c r="C187" s="44">
        <f>C186/C181</f>
        <v>0.49356087830206669</v>
      </c>
      <c r="D187" s="44">
        <f t="shared" si="21"/>
        <v>6.5061786655048803E-2</v>
      </c>
      <c r="E187" s="44"/>
    </row>
    <row r="189" spans="1:6" ht="77" customHeight="1" x14ac:dyDescent="0.2">
      <c r="A189" s="272" t="s">
        <v>705</v>
      </c>
      <c r="B189" s="272"/>
      <c r="C189" s="272"/>
      <c r="D189" s="272"/>
      <c r="E189" s="272"/>
    </row>
    <row r="190" spans="1:6" ht="39" x14ac:dyDescent="0.2">
      <c r="A190" s="154" t="s">
        <v>91</v>
      </c>
      <c r="B190" s="155" t="s">
        <v>206</v>
      </c>
      <c r="C190" s="1" t="s">
        <v>217</v>
      </c>
    </row>
    <row r="191" spans="1:6" ht="26" x14ac:dyDescent="0.2">
      <c r="A191" s="154" t="s">
        <v>207</v>
      </c>
      <c r="B191" s="155">
        <v>921000</v>
      </c>
      <c r="C191" s="1"/>
    </row>
    <row r="192" spans="1:6" ht="26" x14ac:dyDescent="0.2">
      <c r="A192" s="154" t="s">
        <v>208</v>
      </c>
      <c r="B192" s="155">
        <v>1050000</v>
      </c>
      <c r="C192" s="1"/>
    </row>
    <row r="193" spans="1:5" ht="26" x14ac:dyDescent="0.2">
      <c r="A193" s="154" t="s">
        <v>209</v>
      </c>
      <c r="B193" s="155">
        <v>954000</v>
      </c>
      <c r="C193" s="1"/>
    </row>
    <row r="194" spans="1:5" x14ac:dyDescent="0.2">
      <c r="A194" s="154" t="s">
        <v>210</v>
      </c>
      <c r="B194" s="155">
        <v>6545000</v>
      </c>
      <c r="C194" s="1"/>
    </row>
    <row r="195" spans="1:5" ht="27" thickBot="1" x14ac:dyDescent="0.25">
      <c r="A195" s="154" t="s">
        <v>211</v>
      </c>
      <c r="B195" s="155">
        <v>5200000</v>
      </c>
      <c r="C195" s="1"/>
    </row>
    <row r="196" spans="1:5" ht="53" thickBot="1" x14ac:dyDescent="0.25">
      <c r="A196" s="41" t="s">
        <v>714</v>
      </c>
      <c r="B196" s="77">
        <f>365*B191/B194</f>
        <v>51.362108479755541</v>
      </c>
      <c r="C196" s="1">
        <v>44</v>
      </c>
      <c r="D196" s="270">
        <f>B196-C196</f>
        <v>7.3621084797555412</v>
      </c>
      <c r="E196" s="76" t="s">
        <v>706</v>
      </c>
    </row>
    <row r="197" spans="1:5" ht="27" thickBot="1" x14ac:dyDescent="0.25">
      <c r="A197" s="268" t="s">
        <v>715</v>
      </c>
      <c r="B197" s="77">
        <f>365*B192/B195</f>
        <v>73.70192307692308</v>
      </c>
      <c r="C197" s="1">
        <f>C199-C196</f>
        <v>58</v>
      </c>
      <c r="D197" s="270">
        <f t="shared" ref="D197:D200" si="23">B197-C197</f>
        <v>15.70192307692308</v>
      </c>
      <c r="E197" s="269" t="s">
        <v>707</v>
      </c>
    </row>
    <row r="198" spans="1:5" ht="53" thickBot="1" x14ac:dyDescent="0.25">
      <c r="A198" s="41" t="s">
        <v>709</v>
      </c>
      <c r="B198" s="77">
        <f>365*B193/B194</f>
        <v>53.20244461420932</v>
      </c>
      <c r="C198" s="1">
        <v>46</v>
      </c>
      <c r="D198" s="270">
        <f t="shared" si="23"/>
        <v>7.2024446142093197</v>
      </c>
      <c r="E198" s="76" t="s">
        <v>708</v>
      </c>
    </row>
    <row r="199" spans="1:5" ht="66" thickBot="1" x14ac:dyDescent="0.25">
      <c r="A199" s="268" t="s">
        <v>712</v>
      </c>
      <c r="B199" s="77">
        <f>B196+B197</f>
        <v>125.06403155667863</v>
      </c>
      <c r="C199" s="1">
        <v>102</v>
      </c>
      <c r="D199" s="270">
        <f t="shared" si="23"/>
        <v>23.064031556678628</v>
      </c>
      <c r="E199" s="154" t="s">
        <v>710</v>
      </c>
    </row>
    <row r="200" spans="1:5" ht="113" customHeight="1" thickBot="1" x14ac:dyDescent="0.25">
      <c r="A200" s="57" t="s">
        <v>713</v>
      </c>
      <c r="B200" s="77">
        <f>B199-B198</f>
        <v>71.861586942469302</v>
      </c>
      <c r="C200" s="1">
        <f>C199-C198</f>
        <v>56</v>
      </c>
      <c r="D200" s="270">
        <f t="shared" si="23"/>
        <v>15.861586942469302</v>
      </c>
      <c r="E200" s="154" t="s">
        <v>711</v>
      </c>
    </row>
  </sheetData>
  <mergeCells count="33">
    <mergeCell ref="B55:B56"/>
    <mergeCell ref="A55:A56"/>
    <mergeCell ref="A11:G11"/>
    <mergeCell ref="A12:A13"/>
    <mergeCell ref="B12:C12"/>
    <mergeCell ref="A20:A21"/>
    <mergeCell ref="B20:C20"/>
    <mergeCell ref="A31:I31"/>
    <mergeCell ref="A32:A33"/>
    <mergeCell ref="B32:C32"/>
    <mergeCell ref="A40:I40"/>
    <mergeCell ref="J41:K41"/>
    <mergeCell ref="A54:J54"/>
    <mergeCell ref="A149:F149"/>
    <mergeCell ref="A75:H75"/>
    <mergeCell ref="A87:J87"/>
    <mergeCell ref="B88:C88"/>
    <mergeCell ref="A88:A89"/>
    <mergeCell ref="A106:E106"/>
    <mergeCell ref="A125:E125"/>
    <mergeCell ref="A134:E134"/>
    <mergeCell ref="A135:A136"/>
    <mergeCell ref="B135:C135"/>
    <mergeCell ref="A189:E189"/>
    <mergeCell ref="A150:A151"/>
    <mergeCell ref="B150:C150"/>
    <mergeCell ref="A158:F158"/>
    <mergeCell ref="A169:F169"/>
    <mergeCell ref="A178:F178"/>
    <mergeCell ref="C184:C185"/>
    <mergeCell ref="B184:B185"/>
    <mergeCell ref="B179:C179"/>
    <mergeCell ref="A179:A180"/>
  </mergeCells>
  <hyperlinks>
    <hyperlink ref="A67" location="Par513" tooltip="&lt;7&gt; Отражается расход (доход) по налогу на прибыль." display="Налог на прибыль &lt;7&gt;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Лист5</vt:lpstr>
      <vt:lpstr>Лист4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2022-05-31T08:03:07Z</dcterms:modified>
</cp:coreProperties>
</file>